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rformance Reporting\"/>
    </mc:Choice>
  </mc:AlternateContent>
  <workbookProtection workbookAlgorithmName="SHA-512" workbookHashValue="aDs5DuSLbaXH9vydbTivjoWz5hpDj586byBB1m3CmHuKfAPKJ+3yoMVRTCXs6xxkK9ILRUTn8Zc4bTSczNSjAA==" workbookSaltValue="n0aCvSK46sgC4MexPJuUDQ==" workbookSpinCount="100000" lockStructure="1"/>
  <bookViews>
    <workbookView xWindow="0" yWindow="0" windowWidth="15360" windowHeight="8115"/>
  </bookViews>
  <sheets>
    <sheet name="Performance Indicators" sheetId="3" r:id="rId1"/>
    <sheet name="AgreedLevel" sheetId="11" state="hidden" r:id="rId2"/>
    <sheet name="Data" sheetId="2" state="hidden" r:id="rId3"/>
    <sheet name="Den" sheetId="7" state="hidden" r:id="rId4"/>
    <sheet name="Achievement" sheetId="12" state="hidden" r:id="rId5"/>
    <sheet name="naming" sheetId="4" state="hidden" r:id="rId6"/>
  </sheets>
  <definedNames>
    <definedName name="_">'Performance Indicators'!$A$16</definedName>
    <definedName name="_22_CareerSource_Broward">'Performance Indicators'!$C$2</definedName>
    <definedName name="_xlnm._FilterDatabase" localSheetId="4" hidden="1">Achievement!$A$2:$Q$127</definedName>
    <definedName name="_xlnm._FilterDatabase" localSheetId="1" hidden="1">AgreedLevel!$A$1:$T$77</definedName>
    <definedName name="_xlnm._FilterDatabase" localSheetId="2" hidden="1">Data!$A$1:$R$250</definedName>
    <definedName name="_xlnm._FilterDatabase" localSheetId="3" hidden="1">Den!$A$1:$Q$258</definedName>
    <definedName name="check_form">naming!$K$7</definedName>
    <definedName name="metric_sel">naming!$F$7</definedName>
    <definedName name="NegYr" localSheetId="4">naming!#REF!</definedName>
    <definedName name="NegYr">naming!#REF!</definedName>
    <definedName name="_xlnm.Print_Area" localSheetId="0">'Performance Indicators'!$A$1:$U$38</definedName>
    <definedName name="PY" localSheetId="4">'Performance Indicators'!#REF!</definedName>
    <definedName name="PY">'Performance Indicators'!#REF!</definedName>
    <definedName name="S_negYr" localSheetId="4">'Performance Indicators'!#REF!</definedName>
    <definedName name="S_negYr">'Performance Indicators'!#REF!</definedName>
    <definedName name="sel_reg">naming!$C$27</definedName>
    <definedName name="WIOAcat">'Performance Indicators'!$C$4</definedName>
    <definedName name="WIOAmetric">'Performance Indicators'!$C$6</definedName>
    <definedName name="workboard">'Performance Indicators'!$C$2</definedName>
    <definedName name="YR" localSheetId="4">naming!#REF!</definedName>
    <definedName name="YR">naming!#REF!</definedName>
  </definedNames>
  <calcPr calcId="171027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0" i="7" l="1"/>
  <c r="A16" i="3" l="1"/>
  <c r="C27" i="4"/>
  <c r="D101" i="7"/>
  <c r="C3" i="12" l="1"/>
  <c r="C4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E227" i="7" l="1"/>
  <c r="D227" i="7"/>
  <c r="K218" i="7" l="1"/>
  <c r="K209" i="7"/>
  <c r="K200" i="7"/>
  <c r="K191" i="7"/>
  <c r="K182" i="7"/>
  <c r="K173" i="7"/>
  <c r="K164" i="7"/>
  <c r="K155" i="7"/>
  <c r="K146" i="7"/>
  <c r="K137" i="7"/>
  <c r="K128" i="7"/>
  <c r="K119" i="7"/>
  <c r="K110" i="7"/>
  <c r="K101" i="7"/>
  <c r="K92" i="7"/>
  <c r="K83" i="7"/>
  <c r="K74" i="7"/>
  <c r="K65" i="7"/>
  <c r="K56" i="7"/>
  <c r="K47" i="7"/>
  <c r="K38" i="7"/>
  <c r="D11" i="2" l="1"/>
  <c r="D12" i="2"/>
  <c r="D13" i="2"/>
  <c r="D14" i="2"/>
  <c r="D15" i="2"/>
  <c r="D16" i="2"/>
  <c r="D19" i="2"/>
  <c r="D20" i="2"/>
  <c r="D21" i="2"/>
  <c r="D22" i="2"/>
  <c r="D23" i="2"/>
  <c r="D24" i="2"/>
  <c r="D27" i="2"/>
  <c r="D28" i="2"/>
  <c r="D29" i="2"/>
  <c r="D30" i="2"/>
  <c r="D31" i="2"/>
  <c r="D32" i="2"/>
  <c r="C226" i="7" l="1"/>
  <c r="C217" i="7"/>
  <c r="C208" i="7"/>
  <c r="C199" i="7"/>
  <c r="C190" i="7"/>
  <c r="C181" i="7"/>
  <c r="C172" i="7"/>
  <c r="C163" i="7"/>
  <c r="C154" i="7"/>
  <c r="C145" i="7"/>
  <c r="C136" i="7"/>
  <c r="C127" i="7"/>
  <c r="C118" i="7"/>
  <c r="C109" i="7"/>
  <c r="C100" i="7"/>
  <c r="C91" i="7"/>
  <c r="C82" i="7"/>
  <c r="C73" i="7"/>
  <c r="C64" i="7"/>
  <c r="C55" i="7"/>
  <c r="C46" i="7"/>
  <c r="C37" i="7"/>
  <c r="C28" i="7"/>
  <c r="C19" i="7"/>
  <c r="C10" i="7"/>
  <c r="C194" i="2"/>
  <c r="M227" i="7" l="1"/>
  <c r="F74" i="7"/>
  <c r="G74" i="7"/>
  <c r="D20" i="7"/>
  <c r="G227" i="7" l="1"/>
  <c r="Q227" i="7" l="1"/>
  <c r="Q218" i="7"/>
  <c r="Q209" i="7"/>
  <c r="Q200" i="7"/>
  <c r="Q191" i="7"/>
  <c r="Q182" i="7"/>
  <c r="Q173" i="7"/>
  <c r="Q164" i="7"/>
  <c r="Q155" i="7"/>
  <c r="Q146" i="7"/>
  <c r="Q137" i="7"/>
  <c r="Q128" i="7"/>
  <c r="Q119" i="7"/>
  <c r="Q110" i="7"/>
  <c r="Q101" i="7"/>
  <c r="Q92" i="7"/>
  <c r="Q83" i="7"/>
  <c r="Q74" i="7"/>
  <c r="Q65" i="7"/>
  <c r="Q56" i="7"/>
  <c r="Q47" i="7"/>
  <c r="Q29" i="7"/>
  <c r="Q38" i="7"/>
  <c r="Q20" i="7"/>
  <c r="Q11" i="7"/>
  <c r="I31" i="3" l="1"/>
  <c r="I20" i="3"/>
  <c r="K31" i="3"/>
  <c r="K25" i="3"/>
  <c r="K20" i="3"/>
  <c r="I29" i="3"/>
  <c r="I19" i="3"/>
  <c r="M31" i="3"/>
  <c r="M25" i="3"/>
  <c r="M20" i="3"/>
  <c r="I28" i="3"/>
  <c r="I18" i="3"/>
  <c r="K29" i="3"/>
  <c r="K24" i="3"/>
  <c r="K19" i="3"/>
  <c r="I27" i="3"/>
  <c r="I17" i="3"/>
  <c r="M29" i="3"/>
  <c r="M24" i="3"/>
  <c r="M19" i="3"/>
  <c r="I25" i="3"/>
  <c r="K33" i="3"/>
  <c r="K28" i="3"/>
  <c r="K23" i="3"/>
  <c r="K18" i="3"/>
  <c r="I24" i="3"/>
  <c r="M33" i="3"/>
  <c r="M28" i="3"/>
  <c r="M23" i="3"/>
  <c r="M18" i="3"/>
  <c r="K17" i="3"/>
  <c r="I33" i="3"/>
  <c r="I23" i="3"/>
  <c r="K32" i="3"/>
  <c r="K27" i="3"/>
  <c r="K22" i="3"/>
  <c r="I32" i="3"/>
  <c r="I22" i="3"/>
  <c r="M32" i="3"/>
  <c r="M27" i="3"/>
  <c r="M22" i="3"/>
  <c r="M17" i="3"/>
  <c r="P33" i="3"/>
  <c r="P24" i="3"/>
  <c r="P32" i="3"/>
  <c r="P23" i="3"/>
  <c r="P20" i="3"/>
  <c r="P31" i="3"/>
  <c r="P17" i="3"/>
  <c r="P27" i="3"/>
  <c r="P29" i="3"/>
  <c r="P19" i="3"/>
  <c r="P28" i="3"/>
  <c r="P22" i="3"/>
  <c r="P25" i="3"/>
  <c r="H18" i="3"/>
  <c r="P18" i="3"/>
  <c r="T17" i="3"/>
  <c r="H19" i="3"/>
  <c r="S19" i="3"/>
  <c r="S23" i="3"/>
  <c r="S33" i="3"/>
  <c r="S32" i="3"/>
  <c r="S24" i="3"/>
  <c r="S18" i="3"/>
  <c r="S17" i="3"/>
  <c r="H23" i="3"/>
  <c r="H32" i="3"/>
  <c r="H33" i="3"/>
  <c r="H22" i="3"/>
  <c r="S29" i="3"/>
  <c r="H24" i="3"/>
  <c r="H31" i="3"/>
  <c r="H20" i="3"/>
  <c r="H29" i="3"/>
  <c r="H28" i="3"/>
  <c r="H25" i="3"/>
  <c r="H27" i="3"/>
  <c r="H17" i="3"/>
  <c r="S31" i="3"/>
  <c r="S27" i="3"/>
  <c r="S20" i="3"/>
  <c r="S28" i="3"/>
  <c r="S25" i="3"/>
  <c r="S22" i="3"/>
  <c r="D137" i="7"/>
  <c r="P227" i="7"/>
  <c r="O227" i="7"/>
  <c r="N227" i="7"/>
  <c r="L227" i="7"/>
  <c r="K227" i="7"/>
  <c r="J227" i="7"/>
  <c r="I227" i="7"/>
  <c r="H227" i="7"/>
  <c r="F227" i="7"/>
  <c r="P218" i="7"/>
  <c r="O218" i="7"/>
  <c r="N218" i="7"/>
  <c r="M218" i="7"/>
  <c r="L218" i="7"/>
  <c r="J218" i="7"/>
  <c r="I218" i="7"/>
  <c r="H218" i="7"/>
  <c r="G218" i="7"/>
  <c r="F218" i="7"/>
  <c r="E218" i="7"/>
  <c r="D218" i="7"/>
  <c r="P209" i="7"/>
  <c r="O209" i="7"/>
  <c r="N209" i="7"/>
  <c r="M209" i="7"/>
  <c r="L209" i="7"/>
  <c r="J209" i="7"/>
  <c r="I209" i="7"/>
  <c r="H209" i="7"/>
  <c r="G209" i="7"/>
  <c r="F209" i="7"/>
  <c r="E209" i="7"/>
  <c r="D209" i="7"/>
  <c r="P200" i="7"/>
  <c r="O200" i="7"/>
  <c r="N200" i="7"/>
  <c r="M200" i="7"/>
  <c r="L200" i="7"/>
  <c r="I200" i="7"/>
  <c r="H200" i="7"/>
  <c r="G200" i="7"/>
  <c r="F200" i="7"/>
  <c r="E200" i="7"/>
  <c r="D200" i="7"/>
  <c r="P191" i="7"/>
  <c r="O191" i="7"/>
  <c r="N191" i="7"/>
  <c r="M191" i="7"/>
  <c r="L191" i="7"/>
  <c r="J191" i="7"/>
  <c r="I191" i="7"/>
  <c r="H191" i="7"/>
  <c r="G191" i="7"/>
  <c r="F191" i="7"/>
  <c r="E191" i="7"/>
  <c r="D191" i="7"/>
  <c r="P182" i="7"/>
  <c r="O182" i="7"/>
  <c r="N182" i="7"/>
  <c r="M182" i="7"/>
  <c r="L182" i="7"/>
  <c r="J182" i="7"/>
  <c r="I182" i="7"/>
  <c r="H182" i="7"/>
  <c r="G182" i="7"/>
  <c r="F182" i="7"/>
  <c r="E182" i="7"/>
  <c r="D182" i="7"/>
  <c r="P173" i="7"/>
  <c r="O173" i="7"/>
  <c r="N173" i="7"/>
  <c r="M173" i="7"/>
  <c r="L173" i="7"/>
  <c r="J173" i="7"/>
  <c r="I173" i="7"/>
  <c r="H173" i="7"/>
  <c r="G173" i="7"/>
  <c r="F173" i="7"/>
  <c r="E173" i="7"/>
  <c r="D173" i="7"/>
  <c r="P164" i="7"/>
  <c r="O164" i="7"/>
  <c r="N164" i="7"/>
  <c r="M164" i="7"/>
  <c r="L164" i="7"/>
  <c r="J164" i="7"/>
  <c r="I164" i="7"/>
  <c r="H164" i="7"/>
  <c r="G164" i="7"/>
  <c r="F164" i="7"/>
  <c r="E164" i="7"/>
  <c r="D164" i="7"/>
  <c r="P155" i="7"/>
  <c r="O155" i="7"/>
  <c r="N155" i="7"/>
  <c r="M155" i="7"/>
  <c r="L155" i="7"/>
  <c r="J155" i="7"/>
  <c r="I155" i="7"/>
  <c r="H155" i="7"/>
  <c r="G155" i="7"/>
  <c r="F155" i="7"/>
  <c r="E155" i="7"/>
  <c r="D155" i="7"/>
  <c r="P146" i="7"/>
  <c r="O146" i="7"/>
  <c r="N146" i="7"/>
  <c r="M146" i="7"/>
  <c r="L146" i="7"/>
  <c r="J146" i="7"/>
  <c r="I146" i="7"/>
  <c r="H146" i="7"/>
  <c r="G146" i="7"/>
  <c r="F146" i="7"/>
  <c r="E146" i="7"/>
  <c r="D146" i="7"/>
  <c r="P137" i="7"/>
  <c r="O137" i="7"/>
  <c r="N137" i="7"/>
  <c r="M137" i="7"/>
  <c r="L137" i="7"/>
  <c r="J137" i="7"/>
  <c r="I137" i="7"/>
  <c r="H137" i="7"/>
  <c r="G137" i="7"/>
  <c r="F137" i="7"/>
  <c r="E137" i="7"/>
  <c r="P128" i="7"/>
  <c r="O128" i="7"/>
  <c r="N128" i="7"/>
  <c r="M128" i="7"/>
  <c r="L128" i="7"/>
  <c r="J128" i="7"/>
  <c r="I128" i="7"/>
  <c r="H128" i="7"/>
  <c r="G128" i="7"/>
  <c r="F128" i="7"/>
  <c r="E128" i="7"/>
  <c r="D128" i="7"/>
  <c r="P119" i="7"/>
  <c r="O119" i="7"/>
  <c r="N119" i="7"/>
  <c r="M119" i="7"/>
  <c r="L119" i="7"/>
  <c r="J119" i="7"/>
  <c r="I119" i="7"/>
  <c r="H119" i="7"/>
  <c r="G119" i="7"/>
  <c r="F119" i="7"/>
  <c r="E119" i="7"/>
  <c r="D119" i="7"/>
  <c r="P110" i="7"/>
  <c r="O110" i="7"/>
  <c r="N110" i="7"/>
  <c r="M110" i="7"/>
  <c r="L110" i="7"/>
  <c r="J110" i="7"/>
  <c r="I110" i="7"/>
  <c r="H110" i="7"/>
  <c r="G110" i="7"/>
  <c r="F110" i="7"/>
  <c r="E110" i="7"/>
  <c r="D110" i="7"/>
  <c r="P101" i="7"/>
  <c r="O101" i="7"/>
  <c r="N101" i="7"/>
  <c r="M101" i="7"/>
  <c r="L101" i="7"/>
  <c r="J101" i="7"/>
  <c r="I101" i="7"/>
  <c r="H101" i="7"/>
  <c r="G101" i="7"/>
  <c r="F101" i="7"/>
  <c r="E101" i="7"/>
  <c r="D92" i="7"/>
  <c r="P92" i="7"/>
  <c r="O92" i="7"/>
  <c r="N92" i="7"/>
  <c r="M92" i="7"/>
  <c r="L92" i="7"/>
  <c r="J92" i="7"/>
  <c r="I92" i="7"/>
  <c r="H92" i="7"/>
  <c r="G92" i="7"/>
  <c r="F92" i="7"/>
  <c r="E92" i="7"/>
  <c r="P83" i="7"/>
  <c r="O83" i="7"/>
  <c r="N83" i="7"/>
  <c r="M83" i="7"/>
  <c r="L83" i="7"/>
  <c r="J83" i="7"/>
  <c r="I83" i="7"/>
  <c r="H83" i="7"/>
  <c r="G83" i="7"/>
  <c r="F83" i="7"/>
  <c r="E83" i="7"/>
  <c r="D83" i="7"/>
  <c r="P74" i="7"/>
  <c r="O74" i="7"/>
  <c r="N74" i="7"/>
  <c r="M74" i="7"/>
  <c r="L74" i="7"/>
  <c r="J74" i="7"/>
  <c r="I74" i="7"/>
  <c r="H74" i="7"/>
  <c r="E74" i="7"/>
  <c r="D74" i="7"/>
  <c r="P65" i="7"/>
  <c r="O65" i="7"/>
  <c r="N65" i="7"/>
  <c r="M65" i="7"/>
  <c r="L65" i="7"/>
  <c r="J65" i="7"/>
  <c r="I65" i="7"/>
  <c r="H65" i="7"/>
  <c r="G65" i="7"/>
  <c r="F65" i="7"/>
  <c r="E65" i="7"/>
  <c r="D65" i="7"/>
  <c r="P56" i="7"/>
  <c r="O56" i="7"/>
  <c r="N56" i="7"/>
  <c r="M56" i="7"/>
  <c r="L56" i="7"/>
  <c r="J56" i="7"/>
  <c r="I56" i="7"/>
  <c r="H56" i="7"/>
  <c r="G56" i="7"/>
  <c r="F56" i="7"/>
  <c r="E56" i="7"/>
  <c r="D56" i="7"/>
  <c r="P47" i="7"/>
  <c r="O47" i="7"/>
  <c r="N47" i="7"/>
  <c r="M47" i="7"/>
  <c r="L47" i="7"/>
  <c r="J47" i="7"/>
  <c r="I47" i="7"/>
  <c r="H47" i="7"/>
  <c r="G47" i="7"/>
  <c r="F47" i="7"/>
  <c r="E47" i="7"/>
  <c r="D47" i="7"/>
  <c r="D38" i="7"/>
  <c r="P38" i="7"/>
  <c r="O38" i="7"/>
  <c r="N38" i="7"/>
  <c r="M38" i="7"/>
  <c r="L38" i="7"/>
  <c r="J38" i="7"/>
  <c r="I38" i="7"/>
  <c r="H38" i="7"/>
  <c r="G38" i="7"/>
  <c r="F38" i="7"/>
  <c r="E38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P20" i="7"/>
  <c r="O20" i="7"/>
  <c r="N20" i="7"/>
  <c r="M20" i="7"/>
  <c r="L20" i="7"/>
  <c r="K20" i="7"/>
  <c r="J20" i="7"/>
  <c r="I20" i="7"/>
  <c r="H20" i="7"/>
  <c r="G20" i="7"/>
  <c r="F20" i="7"/>
  <c r="E20" i="7"/>
  <c r="E11" i="7"/>
  <c r="F11" i="7"/>
  <c r="G11" i="7"/>
  <c r="H11" i="7"/>
  <c r="I11" i="7"/>
  <c r="J11" i="7"/>
  <c r="K11" i="7"/>
  <c r="L11" i="7"/>
  <c r="M11" i="7"/>
  <c r="N11" i="7"/>
  <c r="O11" i="7"/>
  <c r="P11" i="7"/>
  <c r="D11" i="7"/>
  <c r="O24" i="3" l="1"/>
  <c r="R25" i="3"/>
  <c r="R20" i="3"/>
  <c r="J29" i="3"/>
  <c r="J25" i="3"/>
  <c r="L29" i="3"/>
  <c r="L20" i="3"/>
  <c r="L25" i="3"/>
  <c r="R29" i="3"/>
  <c r="O29" i="3"/>
  <c r="O20" i="3"/>
  <c r="J20" i="3"/>
  <c r="O25" i="3"/>
  <c r="R31" i="3"/>
  <c r="O27" i="3"/>
  <c r="J33" i="3"/>
  <c r="J27" i="3"/>
  <c r="O31" i="3"/>
  <c r="O32" i="3"/>
  <c r="L17" i="3"/>
  <c r="L28" i="3"/>
  <c r="L19" i="3"/>
  <c r="J19" i="3"/>
  <c r="R22" i="3"/>
  <c r="R23" i="3"/>
  <c r="J22" i="3"/>
  <c r="O18" i="3"/>
  <c r="L33" i="3"/>
  <c r="L24" i="3"/>
  <c r="R28" i="3"/>
  <c r="R32" i="3"/>
  <c r="J32" i="3"/>
  <c r="O23" i="3"/>
  <c r="L23" i="3"/>
  <c r="R19" i="3"/>
  <c r="R24" i="3"/>
  <c r="L22" i="3"/>
  <c r="O28" i="3"/>
  <c r="O19" i="3"/>
  <c r="J18" i="3"/>
  <c r="R33" i="3"/>
  <c r="L27" i="3"/>
  <c r="O33" i="3"/>
  <c r="J28" i="3"/>
  <c r="L31" i="3"/>
  <c r="U17" i="3"/>
  <c r="R27" i="3"/>
  <c r="O17" i="3"/>
  <c r="L32" i="3"/>
  <c r="J24" i="3"/>
  <c r="R18" i="3"/>
  <c r="R17" i="3"/>
  <c r="O22" i="3"/>
  <c r="J23" i="3"/>
  <c r="L18" i="3"/>
  <c r="J17" i="3"/>
  <c r="J31" i="3"/>
  <c r="K7" i="4"/>
  <c r="F7" i="4" l="1"/>
  <c r="P12" i="3" s="1"/>
  <c r="P11" i="3" l="1"/>
  <c r="R10" i="3"/>
  <c r="S10" i="3" s="1"/>
  <c r="R9" i="3"/>
  <c r="S9" i="3" s="1"/>
  <c r="D200" i="2"/>
  <c r="D199" i="2"/>
  <c r="D198" i="2"/>
  <c r="D197" i="2"/>
  <c r="D196" i="2"/>
  <c r="D195" i="2"/>
  <c r="D192" i="2"/>
  <c r="D191" i="2"/>
  <c r="D190" i="2"/>
  <c r="D189" i="2"/>
  <c r="D188" i="2"/>
  <c r="D187" i="2"/>
  <c r="D184" i="2"/>
  <c r="D183" i="2"/>
  <c r="D182" i="2"/>
  <c r="D181" i="2"/>
  <c r="D180" i="2"/>
  <c r="D179" i="2"/>
  <c r="D176" i="2"/>
  <c r="D175" i="2"/>
  <c r="D174" i="2"/>
  <c r="D173" i="2"/>
  <c r="D172" i="2"/>
  <c r="D171" i="2"/>
  <c r="D168" i="2"/>
  <c r="D167" i="2"/>
  <c r="D166" i="2"/>
  <c r="D165" i="2"/>
  <c r="D164" i="2"/>
  <c r="D163" i="2"/>
  <c r="D160" i="2"/>
  <c r="D159" i="2"/>
  <c r="D158" i="2"/>
  <c r="D157" i="2"/>
  <c r="D156" i="2"/>
  <c r="D155" i="2"/>
  <c r="D152" i="2"/>
  <c r="D151" i="2"/>
  <c r="D150" i="2"/>
  <c r="D149" i="2"/>
  <c r="D148" i="2"/>
  <c r="D147" i="2"/>
  <c r="D144" i="2"/>
  <c r="D143" i="2"/>
  <c r="D142" i="2"/>
  <c r="D141" i="2"/>
  <c r="D140" i="2"/>
  <c r="D139" i="2"/>
  <c r="D136" i="2"/>
  <c r="D135" i="2"/>
  <c r="D134" i="2"/>
  <c r="D133" i="2"/>
  <c r="D132" i="2"/>
  <c r="D131" i="2"/>
  <c r="D128" i="2"/>
  <c r="D127" i="2"/>
  <c r="D126" i="2"/>
  <c r="D125" i="2"/>
  <c r="D124" i="2"/>
  <c r="D123" i="2"/>
  <c r="D120" i="2"/>
  <c r="D119" i="2"/>
  <c r="D118" i="2"/>
  <c r="D117" i="2"/>
  <c r="D116" i="2"/>
  <c r="D115" i="2"/>
  <c r="D112" i="2"/>
  <c r="D111" i="2"/>
  <c r="D110" i="2"/>
  <c r="D109" i="2"/>
  <c r="D108" i="2"/>
  <c r="D107" i="2"/>
  <c r="D104" i="2"/>
  <c r="D103" i="2"/>
  <c r="D102" i="2"/>
  <c r="D101" i="2"/>
  <c r="D100" i="2"/>
  <c r="D99" i="2"/>
  <c r="D96" i="2"/>
  <c r="D95" i="2"/>
  <c r="D94" i="2"/>
  <c r="D93" i="2"/>
  <c r="D92" i="2"/>
  <c r="D91" i="2"/>
  <c r="D88" i="2"/>
  <c r="D87" i="2"/>
  <c r="D86" i="2"/>
  <c r="D85" i="2"/>
  <c r="D84" i="2"/>
  <c r="D83" i="2"/>
  <c r="D80" i="2"/>
  <c r="D79" i="2"/>
  <c r="D78" i="2"/>
  <c r="D77" i="2"/>
  <c r="D76" i="2"/>
  <c r="D75" i="2"/>
  <c r="D72" i="2"/>
  <c r="D71" i="2"/>
  <c r="D70" i="2"/>
  <c r="D69" i="2"/>
  <c r="D68" i="2"/>
  <c r="D67" i="2"/>
  <c r="D64" i="2"/>
  <c r="D63" i="2"/>
  <c r="D62" i="2"/>
  <c r="D61" i="2"/>
  <c r="D60" i="2"/>
  <c r="D59" i="2"/>
  <c r="D56" i="2"/>
  <c r="D55" i="2"/>
  <c r="D54" i="2"/>
  <c r="D53" i="2"/>
  <c r="D52" i="2"/>
  <c r="D51" i="2"/>
  <c r="D48" i="2"/>
  <c r="D47" i="2"/>
  <c r="D46" i="2"/>
  <c r="D45" i="2"/>
  <c r="D44" i="2"/>
  <c r="D43" i="2"/>
  <c r="D40" i="2"/>
  <c r="D39" i="2"/>
  <c r="D38" i="2"/>
  <c r="D37" i="2"/>
  <c r="D36" i="2"/>
  <c r="D35" i="2"/>
  <c r="D8" i="2"/>
  <c r="D7" i="2"/>
  <c r="D6" i="2"/>
  <c r="D5" i="2"/>
  <c r="D4" i="2"/>
  <c r="D3" i="2"/>
  <c r="C10" i="2"/>
  <c r="C26" i="2" l="1"/>
  <c r="C34" i="2"/>
  <c r="C42" i="2"/>
  <c r="C50" i="2"/>
  <c r="C58" i="2"/>
  <c r="C66" i="2"/>
  <c r="C74" i="2"/>
  <c r="C82" i="2"/>
  <c r="C90" i="2"/>
  <c r="C98" i="2"/>
  <c r="C106" i="2"/>
  <c r="C114" i="2"/>
  <c r="C122" i="2"/>
  <c r="C130" i="2"/>
  <c r="C138" i="2"/>
  <c r="C146" i="2"/>
  <c r="C154" i="2"/>
  <c r="C162" i="2"/>
  <c r="C170" i="2"/>
  <c r="C178" i="2"/>
  <c r="C186" i="2"/>
  <c r="C202" i="2"/>
  <c r="C18" i="2"/>
  <c r="C121" i="2" l="1"/>
  <c r="C120" i="2"/>
  <c r="C201" i="2"/>
  <c r="C200" i="2"/>
  <c r="C193" i="2"/>
  <c r="C192" i="2"/>
  <c r="C185" i="2"/>
  <c r="C184" i="2"/>
  <c r="C177" i="2"/>
  <c r="C176" i="2"/>
  <c r="C169" i="2"/>
  <c r="C168" i="2"/>
  <c r="C161" i="2"/>
  <c r="C160" i="2"/>
  <c r="C153" i="2"/>
  <c r="C152" i="2"/>
  <c r="C145" i="2"/>
  <c r="C144" i="2"/>
  <c r="C137" i="2"/>
  <c r="C136" i="2"/>
  <c r="C129" i="2"/>
  <c r="C128" i="2"/>
  <c r="C113" i="2"/>
  <c r="C112" i="2"/>
  <c r="C105" i="2"/>
  <c r="C104" i="2"/>
  <c r="C97" i="2"/>
  <c r="C96" i="2"/>
  <c r="C89" i="2"/>
  <c r="C88" i="2"/>
  <c r="C81" i="2"/>
  <c r="C80" i="2"/>
  <c r="C73" i="2"/>
  <c r="C72" i="2"/>
  <c r="C65" i="2"/>
  <c r="C64" i="2"/>
  <c r="C57" i="2"/>
  <c r="C56" i="2"/>
  <c r="C49" i="2"/>
  <c r="C48" i="2"/>
  <c r="C41" i="2"/>
  <c r="C40" i="2"/>
  <c r="C33" i="2"/>
  <c r="C32" i="2"/>
  <c r="C25" i="2"/>
  <c r="C24" i="2"/>
  <c r="C17" i="2"/>
  <c r="C16" i="2"/>
  <c r="C9" i="2"/>
  <c r="C8" i="2"/>
  <c r="C195" i="2" l="1"/>
  <c r="C199" i="2"/>
  <c r="C198" i="2"/>
  <c r="C197" i="2"/>
  <c r="C196" i="2"/>
  <c r="C191" i="2" l="1"/>
  <c r="C190" i="2"/>
  <c r="C189" i="2"/>
  <c r="C188" i="2"/>
  <c r="C187" i="2"/>
  <c r="C183" i="2"/>
  <c r="C182" i="2"/>
  <c r="C181" i="2"/>
  <c r="C180" i="2"/>
  <c r="C179" i="2"/>
  <c r="C175" i="2"/>
  <c r="C174" i="2"/>
  <c r="C173" i="2"/>
  <c r="C172" i="2"/>
  <c r="C171" i="2"/>
  <c r="C167" i="2"/>
  <c r="C166" i="2"/>
  <c r="C165" i="2"/>
  <c r="C164" i="2"/>
  <c r="C163" i="2"/>
  <c r="C159" i="2"/>
  <c r="C158" i="2"/>
  <c r="C157" i="2"/>
  <c r="C156" i="2"/>
  <c r="C155" i="2"/>
  <c r="C151" i="2"/>
  <c r="C150" i="2"/>
  <c r="C149" i="2"/>
  <c r="C148" i="2"/>
  <c r="C147" i="2"/>
  <c r="C143" i="2"/>
  <c r="C142" i="2"/>
  <c r="C141" i="2"/>
  <c r="C140" i="2"/>
  <c r="C139" i="2"/>
  <c r="C135" i="2"/>
  <c r="C134" i="2"/>
  <c r="C133" i="2"/>
  <c r="C132" i="2"/>
  <c r="C131" i="2"/>
  <c r="C127" i="2"/>
  <c r="C126" i="2"/>
  <c r="C125" i="2"/>
  <c r="C124" i="2"/>
  <c r="C123" i="2"/>
  <c r="C119" i="2"/>
  <c r="C118" i="2"/>
  <c r="C117" i="2"/>
  <c r="C116" i="2"/>
  <c r="C115" i="2"/>
  <c r="C111" i="2"/>
  <c r="C110" i="2"/>
  <c r="C109" i="2"/>
  <c r="C108" i="2"/>
  <c r="C107" i="2"/>
  <c r="C103" i="2"/>
  <c r="C102" i="2"/>
  <c r="C101" i="2"/>
  <c r="C100" i="2"/>
  <c r="C99" i="2"/>
  <c r="C95" i="2"/>
  <c r="C94" i="2"/>
  <c r="C93" i="2"/>
  <c r="C92" i="2"/>
  <c r="C91" i="2"/>
  <c r="C87" i="2"/>
  <c r="C86" i="2"/>
  <c r="C85" i="2"/>
  <c r="C84" i="2"/>
  <c r="C83" i="2"/>
  <c r="C79" i="2"/>
  <c r="C78" i="2"/>
  <c r="C77" i="2"/>
  <c r="C76" i="2"/>
  <c r="C75" i="2"/>
  <c r="C71" i="2"/>
  <c r="C70" i="2"/>
  <c r="C69" i="2"/>
  <c r="C68" i="2"/>
  <c r="C67" i="2"/>
  <c r="C63" i="2"/>
  <c r="C62" i="2"/>
  <c r="C61" i="2"/>
  <c r="C60" i="2"/>
  <c r="C59" i="2"/>
  <c r="C55" i="2"/>
  <c r="C54" i="2"/>
  <c r="C53" i="2"/>
  <c r="C52" i="2"/>
  <c r="C51" i="2"/>
  <c r="C47" i="2"/>
  <c r="C46" i="2"/>
  <c r="C45" i="2"/>
  <c r="C44" i="2"/>
  <c r="C43" i="2"/>
  <c r="C39" i="2"/>
  <c r="C38" i="2"/>
  <c r="C37" i="2"/>
  <c r="C36" i="2"/>
  <c r="C35" i="2"/>
  <c r="C31" i="2"/>
  <c r="C30" i="2"/>
  <c r="C29" i="2"/>
  <c r="C28" i="2"/>
  <c r="C27" i="2"/>
  <c r="C23" i="2"/>
  <c r="C22" i="2"/>
  <c r="C21" i="2"/>
  <c r="C20" i="2"/>
  <c r="C19" i="2"/>
  <c r="C15" i="2"/>
  <c r="C14" i="2"/>
  <c r="C13" i="2"/>
  <c r="C12" i="2"/>
  <c r="C11" i="2"/>
  <c r="C7" i="2"/>
  <c r="C6" i="2"/>
  <c r="C5" i="2"/>
  <c r="C4" i="2"/>
  <c r="C3" i="2"/>
  <c r="T27" i="3" l="1"/>
  <c r="U27" i="3" s="1"/>
  <c r="T19" i="3"/>
  <c r="U19" i="3" s="1"/>
  <c r="T32" i="3"/>
  <c r="U32" i="3" s="1"/>
  <c r="T25" i="3"/>
  <c r="U25" i="3" s="1"/>
  <c r="T33" i="3"/>
  <c r="U33" i="3" s="1"/>
  <c r="T28" i="3"/>
  <c r="U28" i="3" s="1"/>
  <c r="T18" i="3"/>
  <c r="U18" i="3" s="1"/>
  <c r="T23" i="3"/>
  <c r="U23" i="3" s="1"/>
  <c r="T22" i="3"/>
  <c r="U22" i="3" s="1"/>
  <c r="T29" i="3"/>
  <c r="U29" i="3" s="1"/>
  <c r="T20" i="3"/>
  <c r="U20" i="3" s="1"/>
  <c r="T31" i="3"/>
  <c r="U31" i="3" s="1"/>
  <c r="T24" i="3"/>
  <c r="U24" i="3" s="1"/>
  <c r="D215" i="2"/>
  <c r="P10" i="3"/>
  <c r="P9" i="3"/>
  <c r="D212" i="2"/>
  <c r="D211" i="2"/>
  <c r="D210" i="2"/>
  <c r="D208" i="2"/>
  <c r="D214" i="2"/>
  <c r="D209" i="2"/>
  <c r="D213" i="2"/>
</calcChain>
</file>

<file path=xl/sharedStrings.xml><?xml version="1.0" encoding="utf-8"?>
<sst xmlns="http://schemas.openxmlformats.org/spreadsheetml/2006/main" count="674" uniqueCount="357">
  <si>
    <t>AdultEmp2</t>
  </si>
  <si>
    <t>AdultEmp4</t>
  </si>
  <si>
    <t>AdultEarn</t>
  </si>
  <si>
    <t>AdultCred</t>
  </si>
  <si>
    <t>DWEmp2</t>
  </si>
  <si>
    <t>DWEmp4</t>
  </si>
  <si>
    <t>DWEarn</t>
  </si>
  <si>
    <t>DWCred</t>
  </si>
  <si>
    <t>YouthEmp2</t>
  </si>
  <si>
    <t>YouthEmp4</t>
  </si>
  <si>
    <t>YouthCred</t>
  </si>
  <si>
    <t>WPEmp2</t>
  </si>
  <si>
    <t>WPEmp4</t>
  </si>
  <si>
    <t>WPEarn</t>
  </si>
  <si>
    <t>Year</t>
  </si>
  <si>
    <t>Region</t>
  </si>
  <si>
    <t>Employment Rate  (2nd Qtr after Exit)</t>
  </si>
  <si>
    <t>Employment Rate  (4th Qtr after Exit)</t>
  </si>
  <si>
    <t>Median Earnings  (2nd Qtr after Exit)</t>
  </si>
  <si>
    <t>Credential Attainment Rate</t>
  </si>
  <si>
    <t>10_2011</t>
  </si>
  <si>
    <t>10_2012</t>
  </si>
  <si>
    <t>10_2013</t>
  </si>
  <si>
    <t>10_2014</t>
  </si>
  <si>
    <t>10_2015</t>
  </si>
  <si>
    <t>11_2011</t>
  </si>
  <si>
    <t>11_2012</t>
  </si>
  <si>
    <t>11_2013</t>
  </si>
  <si>
    <t>11_2014</t>
  </si>
  <si>
    <t>11_2015</t>
  </si>
  <si>
    <t>12_2011</t>
  </si>
  <si>
    <t>12_2012</t>
  </si>
  <si>
    <t>12_2013</t>
  </si>
  <si>
    <t>12_2014</t>
  </si>
  <si>
    <t>12_2015</t>
  </si>
  <si>
    <t>13_2011</t>
  </si>
  <si>
    <t>13_2012</t>
  </si>
  <si>
    <t>13_2013</t>
  </si>
  <si>
    <t>13_2014</t>
  </si>
  <si>
    <t>13_2015</t>
  </si>
  <si>
    <t>14_2011</t>
  </si>
  <si>
    <t>14_2012</t>
  </si>
  <si>
    <t>14_2013</t>
  </si>
  <si>
    <t>14_2014</t>
  </si>
  <si>
    <t>14_2015</t>
  </si>
  <si>
    <t>15_2011</t>
  </si>
  <si>
    <t>15_2012</t>
  </si>
  <si>
    <t>15_2013</t>
  </si>
  <si>
    <t>15_2014</t>
  </si>
  <si>
    <t>15_2015</t>
  </si>
  <si>
    <t>16_2011</t>
  </si>
  <si>
    <t>16_2012</t>
  </si>
  <si>
    <t>16_2013</t>
  </si>
  <si>
    <t>16_2014</t>
  </si>
  <si>
    <t>16_2015</t>
  </si>
  <si>
    <t>17_2011</t>
  </si>
  <si>
    <t>17_2012</t>
  </si>
  <si>
    <t>17_2013</t>
  </si>
  <si>
    <t>17_2014</t>
  </si>
  <si>
    <t>17_2015</t>
  </si>
  <si>
    <t>18_2011</t>
  </si>
  <si>
    <t>18_2012</t>
  </si>
  <si>
    <t>18_2013</t>
  </si>
  <si>
    <t>18_2014</t>
  </si>
  <si>
    <t>18_2015</t>
  </si>
  <si>
    <t>19_2011</t>
  </si>
  <si>
    <t>19_2012</t>
  </si>
  <si>
    <t>19_2013</t>
  </si>
  <si>
    <t>19_2014</t>
  </si>
  <si>
    <t>19_2015</t>
  </si>
  <si>
    <t>20_2011</t>
  </si>
  <si>
    <t>20_2012</t>
  </si>
  <si>
    <t>20_2013</t>
  </si>
  <si>
    <t>20_2014</t>
  </si>
  <si>
    <t>20_2015</t>
  </si>
  <si>
    <t>21_2011</t>
  </si>
  <si>
    <t>21_2012</t>
  </si>
  <si>
    <t>21_2013</t>
  </si>
  <si>
    <t>21_2014</t>
  </si>
  <si>
    <t>21_2015</t>
  </si>
  <si>
    <t>22_2011</t>
  </si>
  <si>
    <t>22_2012</t>
  </si>
  <si>
    <t>22_2013</t>
  </si>
  <si>
    <t>22_2014</t>
  </si>
  <si>
    <t>22_2015</t>
  </si>
  <si>
    <t>23_2011</t>
  </si>
  <si>
    <t>23_2012</t>
  </si>
  <si>
    <t>23_2013</t>
  </si>
  <si>
    <t>23_2014</t>
  </si>
  <si>
    <t>23_2015</t>
  </si>
  <si>
    <t>24_2011</t>
  </si>
  <si>
    <t>24_2012</t>
  </si>
  <si>
    <t>24_2013</t>
  </si>
  <si>
    <t>24_2014</t>
  </si>
  <si>
    <t>24_2015</t>
  </si>
  <si>
    <t>-  Select Local Board  -</t>
  </si>
  <si>
    <t>WIOA Category:</t>
  </si>
  <si>
    <t>-  Select WIOA Category  -</t>
  </si>
  <si>
    <t>WIOA Metric:</t>
  </si>
  <si>
    <t>-  Select WIOA Metric  -</t>
  </si>
  <si>
    <t>Actual</t>
  </si>
  <si>
    <t>Naming</t>
  </si>
  <si>
    <t>Category</t>
  </si>
  <si>
    <t>Adult</t>
  </si>
  <si>
    <t>Employment Rate (2nd Qtr after exit)</t>
  </si>
  <si>
    <t>Emp2</t>
  </si>
  <si>
    <t>Dislocated Worker</t>
  </si>
  <si>
    <t>DW</t>
  </si>
  <si>
    <t>Employment Rate (4th Qtr after exit)</t>
  </si>
  <si>
    <t>Emp4</t>
  </si>
  <si>
    <t>Youth</t>
  </si>
  <si>
    <t>Median Earnings (2nd Qtr after exit)</t>
  </si>
  <si>
    <t>Wagner-Peyser</t>
  </si>
  <si>
    <t>WP</t>
  </si>
  <si>
    <t>Cred</t>
  </si>
  <si>
    <t>Code</t>
  </si>
  <si>
    <t>1_2011</t>
  </si>
  <si>
    <t>1_2012</t>
  </si>
  <si>
    <t>1_2013</t>
  </si>
  <si>
    <t>1_2014</t>
  </si>
  <si>
    <t>1_2015</t>
  </si>
  <si>
    <t>2_2011</t>
  </si>
  <si>
    <t>2_2012</t>
  </si>
  <si>
    <t>2_2013</t>
  </si>
  <si>
    <t>2_2014</t>
  </si>
  <si>
    <t>2_2015</t>
  </si>
  <si>
    <t>3_2011</t>
  </si>
  <si>
    <t>3_2012</t>
  </si>
  <si>
    <t>3_2013</t>
  </si>
  <si>
    <t>3_2014</t>
  </si>
  <si>
    <t>3_2015</t>
  </si>
  <si>
    <t>4_2011</t>
  </si>
  <si>
    <t>4_2012</t>
  </si>
  <si>
    <t>4_2013</t>
  </si>
  <si>
    <t>4_2014</t>
  </si>
  <si>
    <t>4_2015</t>
  </si>
  <si>
    <t>5_2011</t>
  </si>
  <si>
    <t>5_2012</t>
  </si>
  <si>
    <t>5_2013</t>
  </si>
  <si>
    <t>5_2014</t>
  </si>
  <si>
    <t>5_2015</t>
  </si>
  <si>
    <t>6_2011</t>
  </si>
  <si>
    <t>6_2012</t>
  </si>
  <si>
    <t>6_2013</t>
  </si>
  <si>
    <t>6_2014</t>
  </si>
  <si>
    <t>6_2015</t>
  </si>
  <si>
    <t>7_2011</t>
  </si>
  <si>
    <t>7_2012</t>
  </si>
  <si>
    <t>7_2013</t>
  </si>
  <si>
    <t>7_2014</t>
  </si>
  <si>
    <t>7_2015</t>
  </si>
  <si>
    <t>8_2011</t>
  </si>
  <si>
    <t>8_2012</t>
  </si>
  <si>
    <t>8_2013</t>
  </si>
  <si>
    <t>8_2014</t>
  </si>
  <si>
    <t>8_2015</t>
  </si>
  <si>
    <t>9_2011</t>
  </si>
  <si>
    <t>9_2012</t>
  </si>
  <si>
    <t>9_2013</t>
  </si>
  <si>
    <t>9_2014</t>
  </si>
  <si>
    <t>9_2015</t>
  </si>
  <si>
    <t>Earn</t>
  </si>
  <si>
    <t>1_2016</t>
  </si>
  <si>
    <t>2_2016</t>
  </si>
  <si>
    <t>3_2016</t>
  </si>
  <si>
    <t>4_2016</t>
  </si>
  <si>
    <t>5_2016</t>
  </si>
  <si>
    <t>6_2016</t>
  </si>
  <si>
    <t>7_2016</t>
  </si>
  <si>
    <t>8_2016</t>
  </si>
  <si>
    <t>9_2016</t>
  </si>
  <si>
    <t>10_2016</t>
  </si>
  <si>
    <t>11_2016</t>
  </si>
  <si>
    <t>12_2016</t>
  </si>
  <si>
    <t>13_2016</t>
  </si>
  <si>
    <t>14_2016</t>
  </si>
  <si>
    <t>15_2016</t>
  </si>
  <si>
    <t>16_2016</t>
  </si>
  <si>
    <t>17_2016</t>
  </si>
  <si>
    <t>18_2016</t>
  </si>
  <si>
    <t>19_2016</t>
  </si>
  <si>
    <t>20_2016</t>
  </si>
  <si>
    <t>21_2016</t>
  </si>
  <si>
    <t>22_2016</t>
  </si>
  <si>
    <t>23_2016</t>
  </si>
  <si>
    <t>24_2016</t>
  </si>
  <si>
    <t>1_2017</t>
  </si>
  <si>
    <t>2_2017</t>
  </si>
  <si>
    <t>3_2017</t>
  </si>
  <si>
    <t>4_2017</t>
  </si>
  <si>
    <t>5_2017</t>
  </si>
  <si>
    <t>6_2017</t>
  </si>
  <si>
    <t>7_2017</t>
  </si>
  <si>
    <t>8_2017</t>
  </si>
  <si>
    <t>9_2017</t>
  </si>
  <si>
    <t>10_2017</t>
  </si>
  <si>
    <t>11_2017</t>
  </si>
  <si>
    <t>12_2017</t>
  </si>
  <si>
    <t>13_2017</t>
  </si>
  <si>
    <t>14_2017</t>
  </si>
  <si>
    <t>15_2017</t>
  </si>
  <si>
    <t>16_2017</t>
  </si>
  <si>
    <t>17_2017</t>
  </si>
  <si>
    <t>18_2017</t>
  </si>
  <si>
    <t>19_2017</t>
  </si>
  <si>
    <t>20_2017</t>
  </si>
  <si>
    <t>21_2017</t>
  </si>
  <si>
    <t>22_2017</t>
  </si>
  <si>
    <t>23_2017</t>
  </si>
  <si>
    <t>24_2017</t>
  </si>
  <si>
    <t>State</t>
  </si>
  <si>
    <t>10_2018</t>
  </si>
  <si>
    <t>11_2018</t>
  </si>
  <si>
    <t>12_2018</t>
  </si>
  <si>
    <t>13_2018</t>
  </si>
  <si>
    <t>14_2018</t>
  </si>
  <si>
    <t>15_2018</t>
  </si>
  <si>
    <t>16_2018</t>
  </si>
  <si>
    <t>17_2018</t>
  </si>
  <si>
    <t>18_2018</t>
  </si>
  <si>
    <t>19_2018</t>
  </si>
  <si>
    <t>20_2018</t>
  </si>
  <si>
    <t>21_2018</t>
  </si>
  <si>
    <t>22_2018</t>
  </si>
  <si>
    <t>23_2018</t>
  </si>
  <si>
    <t>24_2018</t>
  </si>
  <si>
    <t>25_2011</t>
  </si>
  <si>
    <t>25_2012</t>
  </si>
  <si>
    <t>25_2013</t>
  </si>
  <si>
    <t>25_2014</t>
  </si>
  <si>
    <t>25_2015</t>
  </si>
  <si>
    <t>25_2016</t>
  </si>
  <si>
    <t>25_2017</t>
  </si>
  <si>
    <t>25_2018</t>
  </si>
  <si>
    <t>01-CareerSource Escarosa</t>
  </si>
  <si>
    <t>02-CareerSource Okaloosa Walton</t>
  </si>
  <si>
    <t>03-CareerSource Chipola</t>
  </si>
  <si>
    <t>04-CareerSource Gulf Coast</t>
  </si>
  <si>
    <t>05-CareerSource Capital Region</t>
  </si>
  <si>
    <t>06-CareerSource North Florida</t>
  </si>
  <si>
    <t>07-CareerSource Florida Crown</t>
  </si>
  <si>
    <t>08-CareerSource Northeast Florida</t>
  </si>
  <si>
    <t>09-CareerSource North Central Florida</t>
  </si>
  <si>
    <t>10-CareerSource Citrus Levy Marion</t>
  </si>
  <si>
    <t>11-CareerSource Flagler Volusia</t>
  </si>
  <si>
    <t>12-CareerSource Central Florida</t>
  </si>
  <si>
    <t>13-CareerSource Brevard</t>
  </si>
  <si>
    <t>14-CareerSource Pinellas</t>
  </si>
  <si>
    <t>15-CareerSource Tampa Bay</t>
  </si>
  <si>
    <t>16-CareerSource Pasco Hernando</t>
  </si>
  <si>
    <t>17-CareerSource Polk</t>
  </si>
  <si>
    <t>18-CareerSource Suncoast</t>
  </si>
  <si>
    <t>19-CareerSource Heartland</t>
  </si>
  <si>
    <t>20-CareerSource Research Coast</t>
  </si>
  <si>
    <t>21-CareerSource Palm Beach County</t>
  </si>
  <si>
    <t>22-CareerSource Broward</t>
  </si>
  <si>
    <t>23-CareerSource South Florida</t>
  </si>
  <si>
    <t>24-CareerSource Southwest Florida</t>
  </si>
  <si>
    <t>PY 2017-18 Negotiated Level</t>
  </si>
  <si>
    <t>25_2019</t>
  </si>
  <si>
    <t>LWDB:</t>
  </si>
  <si>
    <t xml:space="preserve">Past Performance </t>
  </si>
  <si>
    <t>State for Graph</t>
  </si>
  <si>
    <t>24_2019</t>
  </si>
  <si>
    <t>23_2019</t>
  </si>
  <si>
    <t>22_2019</t>
  </si>
  <si>
    <t>21_2019</t>
  </si>
  <si>
    <t>20_2019</t>
  </si>
  <si>
    <t>19_2019</t>
  </si>
  <si>
    <t>18_2019</t>
  </si>
  <si>
    <t>17_2019</t>
  </si>
  <si>
    <t>16_2019</t>
  </si>
  <si>
    <t>15_2019</t>
  </si>
  <si>
    <t>14_2019</t>
  </si>
  <si>
    <t>13_2019</t>
  </si>
  <si>
    <t>12_2019</t>
  </si>
  <si>
    <t>11_2019</t>
  </si>
  <si>
    <t>10_2019</t>
  </si>
  <si>
    <t>9_2018</t>
  </si>
  <si>
    <t>9_2019</t>
  </si>
  <si>
    <t>8_2018</t>
  </si>
  <si>
    <t>8_2019</t>
  </si>
  <si>
    <t>7_2018</t>
  </si>
  <si>
    <t>7_2019</t>
  </si>
  <si>
    <t>6_2018</t>
  </si>
  <si>
    <t>6_2019</t>
  </si>
  <si>
    <t>5_2018</t>
  </si>
  <si>
    <t>5_2019</t>
  </si>
  <si>
    <t>4_2018</t>
  </si>
  <si>
    <t>4_2019</t>
  </si>
  <si>
    <t>3_2018</t>
  </si>
  <si>
    <t>3_2019</t>
  </si>
  <si>
    <t>2_2018</t>
  </si>
  <si>
    <t>2_2019</t>
  </si>
  <si>
    <t>1_2018</t>
  </si>
  <si>
    <t>1_2019</t>
  </si>
  <si>
    <t>7YrAvg</t>
  </si>
  <si>
    <t>25_7</t>
  </si>
  <si>
    <t>24_7</t>
  </si>
  <si>
    <t>23_7</t>
  </si>
  <si>
    <t>22_7</t>
  </si>
  <si>
    <t>21_7</t>
  </si>
  <si>
    <t>20_7</t>
  </si>
  <si>
    <t>19_7</t>
  </si>
  <si>
    <t>18_7</t>
  </si>
  <si>
    <t>17_7</t>
  </si>
  <si>
    <t>16_7</t>
  </si>
  <si>
    <t>14_7</t>
  </si>
  <si>
    <t>13_7</t>
  </si>
  <si>
    <t>12_7</t>
  </si>
  <si>
    <t>11_7</t>
  </si>
  <si>
    <t>10_7</t>
  </si>
  <si>
    <t>9_7</t>
  </si>
  <si>
    <t>8_7</t>
  </si>
  <si>
    <t>7_7</t>
  </si>
  <si>
    <t>6_7</t>
  </si>
  <si>
    <t>5_7</t>
  </si>
  <si>
    <t>4_7</t>
  </si>
  <si>
    <t>3_7</t>
  </si>
  <si>
    <t>2_7</t>
  </si>
  <si>
    <t>1_7</t>
  </si>
  <si>
    <t>15_7</t>
  </si>
  <si>
    <t>Participants (n)</t>
  </si>
  <si>
    <t>LWDB</t>
  </si>
  <si>
    <t>Program Year 2018Q1</t>
  </si>
  <si>
    <t>PY 2019-20 Target</t>
  </si>
  <si>
    <t>PY 2018-19 Target</t>
  </si>
  <si>
    <t>(n) % of State</t>
  </si>
  <si>
    <t>WIOA Primary Indicators of Performance</t>
  </si>
  <si>
    <t>Employment Rate, 2nd Quarter After Exit</t>
  </si>
  <si>
    <t>Median Earnings, 2nd Quarter After Exit</t>
  </si>
  <si>
    <t>Employment Rate, 4th Quarter After Exit</t>
  </si>
  <si>
    <t>Adults:</t>
  </si>
  <si>
    <t xml:space="preserve">Dislocated Workers:  </t>
  </si>
  <si>
    <t>Youth:</t>
  </si>
  <si>
    <t>Employment, Education or Training placement Rate (Q4)</t>
  </si>
  <si>
    <t>Employment, Education, or Training Placement Rate (Q2)</t>
  </si>
  <si>
    <t>Achievement Level</t>
  </si>
  <si>
    <t>PY2017
Q1</t>
  </si>
  <si>
    <t>PY2017
Q2</t>
  </si>
  <si>
    <t>PY2017
Q3</t>
  </si>
  <si>
    <t>PY2017
Q4</t>
  </si>
  <si>
    <t>PY2017 Targets</t>
  </si>
  <si>
    <t>PY2018 Targets</t>
  </si>
  <si>
    <t>PY2018
Q1</t>
  </si>
  <si>
    <t>Achievement Level Q1</t>
  </si>
  <si>
    <t>Achievement Level Q2</t>
  </si>
  <si>
    <t>Achievement Level Q3</t>
  </si>
  <si>
    <t>Achievement Level Q4</t>
  </si>
  <si>
    <t>Program Year 2017Q4</t>
  </si>
  <si>
    <t>Target Not Met (&lt; 90% of target)</t>
  </si>
  <si>
    <t>Target Met (90-100% of target)</t>
  </si>
  <si>
    <t>Target Exceeded (&gt; 100% of target)</t>
  </si>
  <si>
    <t xml:space="preserve"> &lt;----------------- Select Area</t>
  </si>
  <si>
    <t>&lt;---------- Select Category</t>
  </si>
  <si>
    <t>&lt;------------- Select Metric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</si>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</sst>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"/>
    <numFmt numFmtId="167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1" fontId="0" fillId="0" borderId="0" xfId="0" quotePrefix="1" applyNumberFormat="1" applyAlignment="1">
      <alignment horizontal="right" vertical="top"/>
    </xf>
    <xf numFmtId="1" fontId="0" fillId="0" borderId="0" xfId="0" applyNumberFormat="1" applyAlignment="1">
      <alignment horizontal="right" vertical="top"/>
    </xf>
    <xf numFmtId="0" fontId="0" fillId="6" borderId="0" xfId="0" applyFill="1"/>
    <xf numFmtId="0" fontId="3" fillId="0" borderId="0" xfId="0" applyFont="1"/>
    <xf numFmtId="0" fontId="3" fillId="0" borderId="0" xfId="0" quotePrefix="1" applyFont="1" applyAlignment="1">
      <alignment horizontal="left"/>
    </xf>
    <xf numFmtId="0" fontId="0" fillId="6" borderId="0" xfId="0" applyFill="1" applyBorder="1"/>
    <xf numFmtId="0" fontId="7" fillId="6" borderId="0" xfId="0" applyFont="1" applyFill="1" applyAlignment="1">
      <alignment horizontal="right"/>
    </xf>
    <xf numFmtId="0" fontId="9" fillId="6" borderId="0" xfId="0" quotePrefix="1" applyFont="1" applyFill="1" applyAlignment="1">
      <alignment horizontal="right"/>
    </xf>
    <xf numFmtId="0" fontId="0" fillId="6" borderId="9" xfId="0" applyFill="1" applyBorder="1"/>
    <xf numFmtId="0" fontId="0" fillId="0" borderId="0" xfId="0"/>
    <xf numFmtId="166" fontId="0" fillId="0" borderId="0" xfId="0" applyNumberFormat="1"/>
    <xf numFmtId="2" fontId="0" fillId="6" borderId="0" xfId="0" applyNumberFormat="1" applyFill="1"/>
    <xf numFmtId="2" fontId="4" fillId="0" borderId="2" xfId="2" applyNumberFormat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2" fontId="4" fillId="0" borderId="19" xfId="2" applyNumberFormat="1" applyFont="1" applyFill="1" applyBorder="1" applyAlignment="1">
      <alignment horizontal="center" vertical="center"/>
    </xf>
    <xf numFmtId="0" fontId="0" fillId="0" borderId="4" xfId="0" applyBorder="1"/>
    <xf numFmtId="1" fontId="0" fillId="0" borderId="23" xfId="0" quotePrefix="1" applyNumberFormat="1" applyBorder="1" applyAlignment="1">
      <alignment horizontal="right" vertical="top"/>
    </xf>
    <xf numFmtId="0" fontId="0" fillId="0" borderId="1" xfId="0" applyBorder="1"/>
    <xf numFmtId="2" fontId="4" fillId="0" borderId="14" xfId="2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3" borderId="27" xfId="0" applyFill="1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0" fillId="4" borderId="29" xfId="0" applyFill="1" applyBorder="1" applyAlignment="1">
      <alignment vertical="center" wrapText="1"/>
    </xf>
    <xf numFmtId="0" fontId="0" fillId="5" borderId="26" xfId="0" applyFill="1" applyBorder="1" applyAlignment="1">
      <alignment vertical="center" wrapText="1"/>
    </xf>
    <xf numFmtId="0" fontId="0" fillId="5" borderId="27" xfId="0" applyFill="1" applyBorder="1" applyAlignment="1">
      <alignment vertical="center" wrapText="1"/>
    </xf>
    <xf numFmtId="0" fontId="0" fillId="5" borderId="28" xfId="0" applyFill="1" applyBorder="1" applyAlignment="1">
      <alignment vertical="center" wrapText="1"/>
    </xf>
    <xf numFmtId="0" fontId="0" fillId="7" borderId="4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2" fontId="4" fillId="0" borderId="30" xfId="2" applyNumberFormat="1" applyFont="1" applyFill="1" applyBorder="1" applyAlignment="1">
      <alignment horizontal="center"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3" xfId="2" applyNumberFormat="1" applyFont="1" applyFill="1" applyBorder="1" applyAlignment="1">
      <alignment horizontal="center" vertical="center"/>
    </xf>
    <xf numFmtId="2" fontId="4" fillId="0" borderId="12" xfId="2" applyNumberFormat="1" applyFont="1" applyFill="1" applyBorder="1" applyAlignment="1">
      <alignment horizontal="center" vertical="center"/>
    </xf>
    <xf numFmtId="1" fontId="0" fillId="0" borderId="23" xfId="0" applyNumberFormat="1" applyBorder="1" applyAlignment="1">
      <alignment horizontal="right" vertical="top"/>
    </xf>
    <xf numFmtId="2" fontId="4" fillId="0" borderId="5" xfId="2" applyNumberFormat="1" applyFont="1" applyFill="1" applyBorder="1" applyAlignment="1">
      <alignment horizontal="center" vertical="center"/>
    </xf>
    <xf numFmtId="2" fontId="4" fillId="0" borderId="34" xfId="2" applyNumberFormat="1" applyFont="1" applyFill="1" applyBorder="1" applyAlignment="1">
      <alignment horizontal="center" vertical="center"/>
    </xf>
    <xf numFmtId="2" fontId="4" fillId="0" borderId="35" xfId="2" applyNumberFormat="1" applyFont="1" applyFill="1" applyBorder="1" applyAlignment="1">
      <alignment horizontal="center" vertical="center"/>
    </xf>
    <xf numFmtId="2" fontId="4" fillId="0" borderId="6" xfId="2" applyNumberFormat="1" applyFont="1" applyFill="1" applyBorder="1" applyAlignment="1">
      <alignment horizontal="center" vertical="center"/>
    </xf>
    <xf numFmtId="2" fontId="4" fillId="0" borderId="21" xfId="2" applyNumberFormat="1" applyFont="1" applyFill="1" applyBorder="1" applyAlignment="1">
      <alignment horizontal="center" vertical="center"/>
    </xf>
    <xf numFmtId="2" fontId="4" fillId="0" borderId="36" xfId="2" applyNumberFormat="1" applyFont="1" applyFill="1" applyBorder="1" applyAlignment="1">
      <alignment horizontal="center" vertical="center"/>
    </xf>
    <xf numFmtId="2" fontId="4" fillId="0" borderId="37" xfId="2" applyNumberFormat="1" applyFont="1" applyFill="1" applyBorder="1" applyAlignment="1">
      <alignment horizontal="center" vertical="center"/>
    </xf>
    <xf numFmtId="2" fontId="4" fillId="0" borderId="32" xfId="2" applyNumberFormat="1" applyFont="1" applyFill="1" applyBorder="1" applyAlignment="1">
      <alignment horizontal="center" vertical="center"/>
    </xf>
    <xf numFmtId="1" fontId="0" fillId="0" borderId="25" xfId="0" quotePrefix="1" applyNumberFormat="1" applyBorder="1" applyAlignment="1">
      <alignment horizontal="right" vertical="top"/>
    </xf>
    <xf numFmtId="0" fontId="11" fillId="0" borderId="24" xfId="0" applyFont="1" applyBorder="1"/>
    <xf numFmtId="0" fontId="11" fillId="0" borderId="1" xfId="0" applyFont="1" applyBorder="1"/>
    <xf numFmtId="0" fontId="0" fillId="4" borderId="40" xfId="0" applyFill="1" applyBorder="1" applyAlignment="1">
      <alignment vertical="center" wrapText="1"/>
    </xf>
    <xf numFmtId="0" fontId="0" fillId="3" borderId="28" xfId="0" applyFill="1" applyBorder="1" applyAlignment="1">
      <alignment vertical="center" wrapText="1"/>
    </xf>
    <xf numFmtId="1" fontId="0" fillId="0" borderId="25" xfId="0" applyNumberFormat="1" applyFill="1" applyBorder="1" applyAlignment="1">
      <alignment horizontal="right" vertical="top"/>
    </xf>
    <xf numFmtId="2" fontId="4" fillId="0" borderId="22" xfId="2" applyNumberFormat="1" applyFon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right" vertical="top"/>
    </xf>
    <xf numFmtId="2" fontId="4" fillId="0" borderId="33" xfId="2" applyNumberFormat="1" applyFont="1" applyFill="1" applyBorder="1" applyAlignment="1">
      <alignment horizontal="center" vertical="center"/>
    </xf>
    <xf numFmtId="2" fontId="4" fillId="0" borderId="31" xfId="2" applyNumberFormat="1" applyFont="1" applyFill="1" applyBorder="1" applyAlignment="1">
      <alignment horizontal="center" vertical="center"/>
    </xf>
    <xf numFmtId="2" fontId="4" fillId="0" borderId="20" xfId="2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right" vertical="top"/>
    </xf>
    <xf numFmtId="0" fontId="0" fillId="3" borderId="40" xfId="0" applyFill="1" applyBorder="1" applyAlignment="1">
      <alignment vertical="center" wrapText="1"/>
    </xf>
    <xf numFmtId="0" fontId="0" fillId="11" borderId="15" xfId="0" applyFill="1" applyBorder="1" applyAlignment="1">
      <alignment horizontal="center"/>
    </xf>
    <xf numFmtId="0" fontId="0" fillId="11" borderId="38" xfId="0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right"/>
    </xf>
    <xf numFmtId="0" fontId="8" fillId="9" borderId="24" xfId="0" applyFont="1" applyFill="1" applyBorder="1" applyAlignment="1">
      <alignment horizontal="right"/>
    </xf>
    <xf numFmtId="0" fontId="2" fillId="9" borderId="23" xfId="0" applyFont="1" applyFill="1" applyBorder="1" applyAlignment="1">
      <alignment horizontal="right"/>
    </xf>
    <xf numFmtId="0" fontId="2" fillId="9" borderId="25" xfId="0" applyFont="1" applyFill="1" applyBorder="1" applyAlignment="1">
      <alignment horizontal="right"/>
    </xf>
    <xf numFmtId="0" fontId="0" fillId="12" borderId="0" xfId="0" applyFill="1"/>
    <xf numFmtId="2" fontId="0" fillId="0" borderId="0" xfId="2" applyNumberFormat="1" applyFont="1" applyBorder="1"/>
    <xf numFmtId="0" fontId="4" fillId="6" borderId="0" xfId="0" applyFont="1" applyFill="1"/>
    <xf numFmtId="0" fontId="13" fillId="6" borderId="3" xfId="0" applyFont="1" applyFill="1" applyBorder="1"/>
    <xf numFmtId="0" fontId="13" fillId="6" borderId="3" xfId="0" applyFont="1" applyFill="1" applyBorder="1" applyAlignment="1">
      <alignment horizontal="center" vertical="center" wrapText="1"/>
    </xf>
    <xf numFmtId="0" fontId="12" fillId="7" borderId="41" xfId="0" applyFont="1" applyFill="1" applyBorder="1" applyAlignment="1">
      <alignment horizontal="center"/>
    </xf>
    <xf numFmtId="0" fontId="13" fillId="7" borderId="43" xfId="0" applyFont="1" applyFill="1" applyBorder="1" applyAlignment="1">
      <alignment horizontal="center"/>
    </xf>
    <xf numFmtId="0" fontId="13" fillId="7" borderId="42" xfId="0" applyFont="1" applyFill="1" applyBorder="1"/>
    <xf numFmtId="0" fontId="4" fillId="7" borderId="42" xfId="0" applyFont="1" applyFill="1" applyBorder="1"/>
    <xf numFmtId="0" fontId="4" fillId="7" borderId="3" xfId="0" applyFont="1" applyFill="1" applyBorder="1"/>
    <xf numFmtId="165" fontId="5" fillId="6" borderId="3" xfId="0" applyNumberFormat="1" applyFont="1" applyFill="1" applyBorder="1" applyAlignment="1">
      <alignment horizontal="center"/>
    </xf>
    <xf numFmtId="2" fontId="5" fillId="6" borderId="3" xfId="0" applyNumberFormat="1" applyFont="1" applyFill="1" applyBorder="1" applyAlignment="1">
      <alignment horizontal="center"/>
    </xf>
    <xf numFmtId="2" fontId="5" fillId="7" borderId="3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right"/>
    </xf>
    <xf numFmtId="1" fontId="0" fillId="0" borderId="0" xfId="0" quotePrefix="1" applyNumberFormat="1" applyBorder="1" applyAlignment="1">
      <alignment horizontal="right" vertical="top"/>
    </xf>
    <xf numFmtId="2" fontId="4" fillId="0" borderId="9" xfId="2" applyNumberFormat="1" applyFont="1" applyFill="1" applyBorder="1" applyAlignment="1">
      <alignment horizontal="center" vertical="center"/>
    </xf>
    <xf numFmtId="2" fontId="4" fillId="0" borderId="46" xfId="2" applyNumberFormat="1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center" vertical="center"/>
    </xf>
    <xf numFmtId="10" fontId="13" fillId="6" borderId="42" xfId="0" applyNumberFormat="1" applyFon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2" fontId="0" fillId="0" borderId="1" xfId="2" applyNumberFormat="1" applyFont="1" applyBorder="1" applyAlignment="1">
      <alignment horizontal="center"/>
    </xf>
    <xf numFmtId="2" fontId="0" fillId="0" borderId="0" xfId="2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 wrapText="1"/>
    </xf>
    <xf numFmtId="2" fontId="0" fillId="0" borderId="24" xfId="2" applyNumberFormat="1" applyFont="1" applyBorder="1" applyAlignment="1">
      <alignment horizontal="center"/>
    </xf>
    <xf numFmtId="2" fontId="0" fillId="0" borderId="25" xfId="2" applyNumberFormat="1" applyFont="1" applyBorder="1" applyAlignment="1">
      <alignment horizontal="center"/>
    </xf>
    <xf numFmtId="164" fontId="0" fillId="0" borderId="25" xfId="1" applyNumberFormat="1" applyFont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165" fontId="0" fillId="0" borderId="25" xfId="0" applyNumberFormat="1" applyFont="1" applyBorder="1" applyAlignment="1">
      <alignment horizontal="center" vertical="center" wrapText="1"/>
    </xf>
    <xf numFmtId="2" fontId="0" fillId="13" borderId="23" xfId="2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13" borderId="0" xfId="2" applyNumberFormat="1" applyFont="1" applyFill="1" applyBorder="1" applyAlignment="1">
      <alignment horizontal="center"/>
    </xf>
    <xf numFmtId="165" fontId="0" fillId="0" borderId="47" xfId="0" applyNumberForma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 wrapText="1"/>
    </xf>
    <xf numFmtId="165" fontId="0" fillId="0" borderId="23" xfId="0" applyNumberFormat="1" applyFont="1" applyBorder="1" applyAlignment="1">
      <alignment horizontal="center" vertical="center" wrapText="1"/>
    </xf>
    <xf numFmtId="2" fontId="0" fillId="13" borderId="16" xfId="2" applyNumberFormat="1" applyFont="1" applyFill="1" applyBorder="1" applyAlignment="1">
      <alignment horizontal="center"/>
    </xf>
    <xf numFmtId="165" fontId="0" fillId="0" borderId="16" xfId="0" applyNumberFormat="1" applyBorder="1" applyAlignment="1">
      <alignment horizontal="center" vertical="center"/>
    </xf>
    <xf numFmtId="2" fontId="0" fillId="13" borderId="47" xfId="2" applyNumberFormat="1" applyFont="1" applyFill="1" applyBorder="1" applyAlignment="1">
      <alignment horizontal="center"/>
    </xf>
    <xf numFmtId="0" fontId="0" fillId="13" borderId="47" xfId="0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/>
    </xf>
    <xf numFmtId="0" fontId="4" fillId="8" borderId="41" xfId="0" applyFont="1" applyFill="1" applyBorder="1"/>
    <xf numFmtId="0" fontId="4" fillId="8" borderId="43" xfId="0" applyFont="1" applyFill="1" applyBorder="1"/>
    <xf numFmtId="0" fontId="4" fillId="8" borderId="42" xfId="0" applyFont="1" applyFill="1" applyBorder="1"/>
    <xf numFmtId="0" fontId="4" fillId="5" borderId="41" xfId="0" applyFont="1" applyFill="1" applyBorder="1"/>
    <xf numFmtId="0" fontId="4" fillId="5" borderId="43" xfId="0" applyFont="1" applyFill="1" applyBorder="1"/>
    <xf numFmtId="0" fontId="4" fillId="5" borderId="42" xfId="0" applyFont="1" applyFill="1" applyBorder="1"/>
    <xf numFmtId="0" fontId="4" fillId="10" borderId="41" xfId="0" applyFont="1" applyFill="1" applyBorder="1"/>
    <xf numFmtId="0" fontId="4" fillId="10" borderId="43" xfId="0" applyFont="1" applyFill="1" applyBorder="1"/>
    <xf numFmtId="0" fontId="4" fillId="10" borderId="42" xfId="0" applyFont="1" applyFill="1" applyBorder="1"/>
    <xf numFmtId="166" fontId="13" fillId="6" borderId="3" xfId="0" applyNumberFormat="1" applyFont="1" applyFill="1" applyBorder="1"/>
    <xf numFmtId="10" fontId="13" fillId="6" borderId="3" xfId="0" applyNumberFormat="1" applyFont="1" applyFill="1" applyBorder="1"/>
    <xf numFmtId="165" fontId="13" fillId="6" borderId="3" xfId="0" applyNumberFormat="1" applyFont="1" applyFill="1" applyBorder="1"/>
    <xf numFmtId="0" fontId="13" fillId="7" borderId="3" xfId="0" applyFont="1" applyFill="1" applyBorder="1"/>
    <xf numFmtId="10" fontId="13" fillId="7" borderId="3" xfId="0" applyNumberFormat="1" applyFont="1" applyFill="1" applyBorder="1"/>
    <xf numFmtId="2" fontId="12" fillId="7" borderId="3" xfId="0" applyNumberFormat="1" applyFont="1" applyFill="1" applyBorder="1" applyAlignment="1">
      <alignment horizontal="center"/>
    </xf>
    <xf numFmtId="0" fontId="0" fillId="6" borderId="0" xfId="0" quotePrefix="1" applyFill="1"/>
    <xf numFmtId="0" fontId="0" fillId="0" borderId="0" xfId="0" applyBorder="1"/>
    <xf numFmtId="0" fontId="10" fillId="6" borderId="14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165" fontId="13" fillId="6" borderId="3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165" fontId="0" fillId="0" borderId="25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47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4" fontId="0" fillId="0" borderId="0" xfId="1" applyNumberFormat="1" applyFont="1" applyBorder="1"/>
    <xf numFmtId="10" fontId="0" fillId="0" borderId="0" xfId="2" applyNumberFormat="1" applyFont="1" applyBorder="1"/>
    <xf numFmtId="0" fontId="0" fillId="0" borderId="0" xfId="0" applyFill="1" applyBorder="1"/>
    <xf numFmtId="166" fontId="0" fillId="0" borderId="0" xfId="0" applyNumberFormat="1" applyFill="1" applyBorder="1"/>
    <xf numFmtId="2" fontId="0" fillId="0" borderId="0" xfId="0" applyNumberFormat="1" applyFill="1" applyBorder="1"/>
    <xf numFmtId="2" fontId="4" fillId="0" borderId="38" xfId="2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right"/>
    </xf>
    <xf numFmtId="2" fontId="4" fillId="0" borderId="3" xfId="2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1" fontId="0" fillId="0" borderId="15" xfId="0" quotePrefix="1" applyNumberFormat="1" applyFont="1" applyFill="1" applyBorder="1" applyAlignment="1">
      <alignment horizontal="right" vertical="top"/>
    </xf>
    <xf numFmtId="1" fontId="0" fillId="0" borderId="39" xfId="0" quotePrefix="1" applyNumberFormat="1" applyFont="1" applyFill="1" applyBorder="1" applyAlignment="1">
      <alignment horizontal="right" vertical="top"/>
    </xf>
    <xf numFmtId="1" fontId="0" fillId="0" borderId="38" xfId="0" quotePrefix="1" applyNumberFormat="1" applyFont="1" applyFill="1" applyBorder="1" applyAlignment="1">
      <alignment horizontal="right" vertical="top"/>
    </xf>
    <xf numFmtId="2" fontId="15" fillId="0" borderId="5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1" fillId="0" borderId="5" xfId="2" applyNumberFormat="1" applyFont="1" applyFill="1" applyBorder="1" applyAlignment="1">
      <alignment horizontal="center"/>
    </xf>
    <xf numFmtId="2" fontId="1" fillId="0" borderId="32" xfId="2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15" fillId="0" borderId="6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2" fontId="1" fillId="0" borderId="6" xfId="2" applyNumberFormat="1" applyFont="1" applyFill="1" applyBorder="1" applyAlignment="1">
      <alignment horizontal="center"/>
    </xf>
    <xf numFmtId="2" fontId="1" fillId="0" borderId="21" xfId="2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165" fontId="13" fillId="6" borderId="3" xfId="0" applyNumberFormat="1" applyFont="1" applyFill="1" applyBorder="1" applyAlignment="1">
      <alignment horizontal="center"/>
    </xf>
    <xf numFmtId="166" fontId="13" fillId="6" borderId="3" xfId="0" applyNumberFormat="1" applyFont="1" applyFill="1" applyBorder="1" applyAlignment="1">
      <alignment horizontal="center" vertical="center"/>
    </xf>
    <xf numFmtId="167" fontId="1" fillId="6" borderId="9" xfId="3" applyNumberFormat="1" applyFont="1" applyFill="1" applyBorder="1" applyAlignment="1">
      <alignment horizontal="center"/>
    </xf>
    <xf numFmtId="10" fontId="0" fillId="6" borderId="9" xfId="2" applyNumberFormat="1" applyFont="1" applyFill="1" applyBorder="1" applyAlignment="1">
      <alignment horizontal="center"/>
    </xf>
    <xf numFmtId="0" fontId="0" fillId="0" borderId="15" xfId="0" applyBorder="1"/>
    <xf numFmtId="0" fontId="0" fillId="0" borderId="38" xfId="0" applyBorder="1"/>
    <xf numFmtId="0" fontId="0" fillId="0" borderId="38" xfId="0" applyBorder="1" applyAlignment="1">
      <alignment horizontal="center"/>
    </xf>
    <xf numFmtId="0" fontId="0" fillId="2" borderId="4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8" borderId="23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5" borderId="23" xfId="0" applyFill="1" applyBorder="1" applyAlignment="1">
      <alignment wrapText="1"/>
    </xf>
    <xf numFmtId="0" fontId="0" fillId="8" borderId="16" xfId="0" applyFill="1" applyBorder="1" applyAlignment="1">
      <alignment wrapText="1"/>
    </xf>
    <xf numFmtId="0" fontId="0" fillId="0" borderId="23" xfId="0" applyBorder="1"/>
    <xf numFmtId="0" fontId="0" fillId="0" borderId="16" xfId="0" applyBorder="1"/>
    <xf numFmtId="0" fontId="0" fillId="0" borderId="47" xfId="0" applyBorder="1"/>
    <xf numFmtId="0" fontId="0" fillId="0" borderId="24" xfId="0" applyBorder="1"/>
    <xf numFmtId="1" fontId="0" fillId="0" borderId="0" xfId="0" applyNumberFormat="1" applyBorder="1" applyAlignment="1">
      <alignment horizontal="right" vertical="top"/>
    </xf>
    <xf numFmtId="1" fontId="0" fillId="14" borderId="25" xfId="0" applyNumberFormat="1" applyFill="1" applyBorder="1" applyAlignment="1">
      <alignment horizontal="right" vertical="top"/>
    </xf>
    <xf numFmtId="1" fontId="0" fillId="14" borderId="25" xfId="0" quotePrefix="1" applyNumberFormat="1" applyFill="1" applyBorder="1" applyAlignment="1">
      <alignment horizontal="right" vertical="top"/>
    </xf>
    <xf numFmtId="0" fontId="0" fillId="14" borderId="24" xfId="0" applyFill="1" applyBorder="1" applyAlignment="1">
      <alignment horizontal="right"/>
    </xf>
    <xf numFmtId="0" fontId="0" fillId="14" borderId="25" xfId="0" applyFill="1" applyBorder="1" applyAlignment="1">
      <alignment horizontal="right"/>
    </xf>
    <xf numFmtId="0" fontId="0" fillId="14" borderId="39" xfId="0" applyFill="1" applyBorder="1" applyAlignment="1">
      <alignment horizontal="right"/>
    </xf>
    <xf numFmtId="0" fontId="0" fillId="14" borderId="48" xfId="0" applyFill="1" applyBorder="1" applyAlignment="1">
      <alignment horizontal="right"/>
    </xf>
    <xf numFmtId="0" fontId="2" fillId="15" borderId="24" xfId="0" applyFont="1" applyFill="1" applyBorder="1" applyAlignment="1">
      <alignment horizontal="right"/>
    </xf>
    <xf numFmtId="1" fontId="0" fillId="0" borderId="16" xfId="0" quotePrefix="1" applyNumberFormat="1" applyBorder="1" applyAlignment="1">
      <alignment horizontal="right" vertical="top"/>
    </xf>
    <xf numFmtId="1" fontId="0" fillId="0" borderId="47" xfId="0" quotePrefix="1" applyNumberFormat="1" applyBorder="1" applyAlignment="1">
      <alignment horizontal="right" vertical="top"/>
    </xf>
    <xf numFmtId="1" fontId="0" fillId="0" borderId="48" xfId="0" quotePrefix="1" applyNumberFormat="1" applyBorder="1" applyAlignment="1">
      <alignment horizontal="right" vertical="top"/>
    </xf>
    <xf numFmtId="2" fontId="0" fillId="0" borderId="47" xfId="0" applyNumberFormat="1" applyFill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2" fontId="0" fillId="0" borderId="48" xfId="0" applyNumberFormat="1" applyFill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7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/>
    </xf>
    <xf numFmtId="0" fontId="0" fillId="6" borderId="9" xfId="0" quotePrefix="1" applyFill="1" applyBorder="1" applyAlignment="1">
      <alignment horizontal="left"/>
    </xf>
    <xf numFmtId="0" fontId="0" fillId="6" borderId="0" xfId="0" quotePrefix="1" applyFill="1" applyBorder="1" applyAlignment="1">
      <alignment horizontal="left"/>
    </xf>
    <xf numFmtId="0" fontId="0" fillId="6" borderId="8" xfId="0" quotePrefix="1" applyFill="1" applyBorder="1" applyAlignment="1">
      <alignment horizontal="left"/>
    </xf>
    <xf numFmtId="0" fontId="4" fillId="6" borderId="9" xfId="0" quotePrefix="1" applyFont="1" applyFill="1" applyBorder="1" applyAlignment="1">
      <alignment horizontal="left"/>
    </xf>
    <xf numFmtId="0" fontId="4" fillId="6" borderId="0" xfId="0" quotePrefix="1" applyFont="1" applyFill="1" applyBorder="1" applyAlignment="1">
      <alignment horizontal="left"/>
    </xf>
    <xf numFmtId="0" fontId="4" fillId="6" borderId="8" xfId="0" quotePrefix="1" applyFont="1" applyFill="1" applyBorder="1" applyAlignment="1">
      <alignment horizontal="left"/>
    </xf>
    <xf numFmtId="165" fontId="13" fillId="6" borderId="3" xfId="0" applyNumberFormat="1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9" fillId="6" borderId="0" xfId="0" quotePrefix="1" applyFont="1" applyFill="1" applyAlignment="1">
      <alignment horizontal="right" wrapText="1"/>
    </xf>
    <xf numFmtId="0" fontId="9" fillId="6" borderId="0" xfId="0" applyFont="1" applyFill="1" applyAlignment="1">
      <alignment horizontal="center" vertical="top" wrapText="1"/>
    </xf>
    <xf numFmtId="0" fontId="10" fillId="6" borderId="14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13" fillId="6" borderId="41" xfId="0" applyFont="1" applyFill="1" applyBorder="1" applyAlignment="1">
      <alignment horizontal="center" vertical="center"/>
    </xf>
    <xf numFmtId="0" fontId="13" fillId="6" borderId="4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horizontal="center"/>
    </xf>
    <xf numFmtId="0" fontId="13" fillId="7" borderId="4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center" vertical="center"/>
    </xf>
    <xf numFmtId="165" fontId="13" fillId="6" borderId="41" xfId="0" applyNumberFormat="1" applyFont="1" applyFill="1" applyBorder="1" applyAlignment="1">
      <alignment horizontal="center" vertical="center"/>
    </xf>
    <xf numFmtId="165" fontId="13" fillId="6" borderId="42" xfId="0" applyNumberFormat="1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/>
    </xf>
    <xf numFmtId="0" fontId="4" fillId="7" borderId="4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left"/>
    </xf>
    <xf numFmtId="0" fontId="2" fillId="6" borderId="0" xfId="0" applyFont="1" applyFill="1" applyAlignment="1">
      <alignment horizontal="left" vertical="center"/>
    </xf>
    <xf numFmtId="0" fontId="2" fillId="6" borderId="8" xfId="0" applyFont="1" applyFill="1" applyBorder="1" applyAlignment="1">
      <alignment horizontal="left" vertical="center"/>
    </xf>
    <xf numFmtId="0" fontId="12" fillId="7" borderId="41" xfId="0" applyFont="1" applyFill="1" applyBorder="1" applyAlignment="1">
      <alignment horizontal="left"/>
    </xf>
    <xf numFmtId="0" fontId="12" fillId="7" borderId="43" xfId="0" applyFont="1" applyFill="1" applyBorder="1" applyAlignment="1">
      <alignment horizontal="left"/>
    </xf>
    <xf numFmtId="0" fontId="12" fillId="7" borderId="42" xfId="0" applyFont="1" applyFill="1" applyBorder="1" applyAlignment="1">
      <alignment horizontal="left"/>
    </xf>
    <xf numFmtId="0" fontId="9" fillId="7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2" fillId="6" borderId="8" xfId="0" applyFont="1" applyFill="1" applyBorder="1" applyAlignment="1">
      <alignment horizontal="right" vertical="center" textRotation="90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2" fontId="5" fillId="6" borderId="9" xfId="2" applyNumberFormat="1" applyFont="1" applyFill="1" applyBorder="1" applyAlignment="1">
      <alignment horizontal="center" vertical="center"/>
    </xf>
    <xf numFmtId="2" fontId="5" fillId="6" borderId="0" xfId="2" applyNumberFormat="1" applyFont="1" applyFill="1" applyBorder="1" applyAlignment="1">
      <alignment horizontal="center" vertical="center"/>
    </xf>
    <xf numFmtId="2" fontId="6" fillId="6" borderId="9" xfId="2" applyNumberFormat="1" applyFont="1" applyFill="1" applyBorder="1" applyAlignment="1">
      <alignment horizontal="center" vertical="center"/>
    </xf>
    <xf numFmtId="2" fontId="6" fillId="6" borderId="8" xfId="2" applyNumberFormat="1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left"/>
    </xf>
    <xf numFmtId="0" fontId="0" fillId="0" borderId="0" xfId="0" applyAlignment="1">
      <alignment vertical="center"/>
    </xf>
  </cellXfs>
  <cellStyles count="6">
    <cellStyle name="Comma" xfId="3" builtinId="3"/>
    <cellStyle name="Currency" xfId="1" builtinId="4"/>
    <cellStyle name="Normal" xfId="0" builtinId="0"/>
    <cellStyle name="Normal 3" xfId="4"/>
    <cellStyle name="Percent" xfId="2" builtinId="5"/>
    <cellStyle name="Percent 2" xfId="5"/>
  </cellStyles>
  <dxfs count="145"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</dxf>
    <dxf>
      <numFmt numFmtId="165" formatCode="&quot;$&quot;#,##0"/>
    </dxf>
    <dxf>
      <font>
        <color theme="0"/>
      </font>
    </dxf>
    <dxf>
      <numFmt numFmtId="165" formatCode="&quot;$&quot;#,##0"/>
    </dxf>
    <dxf>
      <font>
        <color theme="0"/>
      </font>
    </dxf>
    <dxf>
      <numFmt numFmtId="165" formatCode="&quot;$&quot;#,##0"/>
    </dxf>
    <dxf>
      <font>
        <color theme="0"/>
      </font>
    </dxf>
    <dxf>
      <numFmt numFmtId="165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21246248601395"/>
          <c:y val="5.146198830409357E-2"/>
          <c:w val="0.84857107005050658"/>
          <c:h val="0.69814384712702293"/>
        </c:manualLayout>
      </c:layout>
      <c:areaChart>
        <c:grouping val="standard"/>
        <c:varyColors val="0"/>
        <c:ser>
          <c:idx val="3"/>
          <c:order val="0"/>
          <c:tx>
            <c:v>State Actual Performance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val>
            <c:numRef>
              <c:f>Data!$D$214:$D$215</c:f>
              <c:numCache>
                <c:formatCode>0.0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EF-4A4F-8AB9-8E8360F1B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572016"/>
        <c:axId val="500568408"/>
      </c:areaChart>
      <c:barChart>
        <c:barDir val="col"/>
        <c:grouping val="clustered"/>
        <c:varyColors val="0"/>
        <c:ser>
          <c:idx val="0"/>
          <c:order val="1"/>
          <c:tx>
            <c:v>Selected Areas Actual Performance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3A-4A3A-B995-734B0AC4E90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'Performance Indicators'!$M$9:$M$10</c:f>
              <c:strCache>
                <c:ptCount val="2"/>
                <c:pt idx="0">
                  <c:v>Program Year 2017Q4</c:v>
                </c:pt>
                <c:pt idx="1">
                  <c:v>Program Year 2018Q1</c:v>
                </c:pt>
              </c:strCache>
            </c:strRef>
          </c:cat>
          <c:val>
            <c:numRef>
              <c:f>'Performance Indicators'!$P$9:$P$10</c:f>
              <c:numCache>
                <c:formatCode>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A-474A-8796-5AD6D885E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500572016"/>
        <c:axId val="500568408"/>
      </c:barChart>
      <c:catAx>
        <c:axId val="50057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568408"/>
        <c:crosses val="autoZero"/>
        <c:auto val="1"/>
        <c:lblAlgn val="ctr"/>
        <c:lblOffset val="100"/>
        <c:noMultiLvlLbl val="0"/>
      </c:catAx>
      <c:valAx>
        <c:axId val="50056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57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6961388801628927E-2"/>
          <c:y val="0.90292397660818713"/>
          <c:w val="0.86009838757444046"/>
          <c:h val="7.8947920983561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21246248601395"/>
          <c:y val="5.146198830409357E-2"/>
          <c:w val="0.84857107005050658"/>
          <c:h val="0.57253469632085463"/>
        </c:manualLayout>
      </c:layout>
      <c:areaChart>
        <c:grouping val="standard"/>
        <c:varyColors val="0"/>
        <c:ser>
          <c:idx val="3"/>
          <c:order val="0"/>
          <c:tx>
            <c:v>State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'Performance Indicators'!$M$9:$O$10</c:f>
              <c:strCache>
                <c:ptCount val="2"/>
                <c:pt idx="0">
                  <c:v>Program Year 2017Q4</c:v>
                </c:pt>
                <c:pt idx="1">
                  <c:v>Program Year 2018Q1</c:v>
                </c:pt>
              </c:strCache>
            </c:strRef>
          </c:cat>
          <c:val>
            <c:numRef>
              <c:f>Data!$D$214:$D$215</c:f>
              <c:numCache>
                <c:formatCode>0.0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CC-4121-82E2-631C5403E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572016"/>
        <c:axId val="500568408"/>
      </c:areaChart>
      <c:barChart>
        <c:barDir val="col"/>
        <c:grouping val="clustered"/>
        <c:varyColors val="0"/>
        <c:ser>
          <c:idx val="0"/>
          <c:order val="1"/>
          <c:tx>
            <c:strRef>
              <c:f>'Performance Indicators'!$P$8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5875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2C-4C47-A3AD-3169EF9C8E05}"/>
              </c:ext>
            </c:extLst>
          </c:dPt>
          <c:dLbls>
            <c:dLbl>
              <c:idx val="1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92C-4C47-A3AD-3169EF9C8E0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'Performance Indicators'!$M$9:$M$10</c:f>
              <c:strCache>
                <c:ptCount val="2"/>
                <c:pt idx="0">
                  <c:v>Program Year 2017Q4</c:v>
                </c:pt>
                <c:pt idx="1">
                  <c:v>Program Year 2018Q1</c:v>
                </c:pt>
              </c:strCache>
            </c:strRef>
          </c:cat>
          <c:val>
            <c:numRef>
              <c:f>'Performance Indicators'!$P$9:$P$10</c:f>
              <c:numCache>
                <c:formatCode>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CC-4121-82E2-631C5403E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-27"/>
        <c:axId val="500572016"/>
        <c:axId val="500568408"/>
      </c:barChart>
      <c:lineChart>
        <c:grouping val="standard"/>
        <c:varyColors val="0"/>
        <c:ser>
          <c:idx val="1"/>
          <c:order val="2"/>
          <c:tx>
            <c:strRef>
              <c:f>Targets!#REF!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'Performance Indicators'!$M$9:$M$10</c:f>
              <c:strCache>
                <c:ptCount val="2"/>
                <c:pt idx="0">
                  <c:v>Program Year 2017Q4</c:v>
                </c:pt>
                <c:pt idx="1">
                  <c:v>Program Year 2018Q1</c:v>
                </c:pt>
              </c:strCache>
            </c:strRef>
          </c:cat>
          <c:val>
            <c:numRef>
              <c:f>Targets!#REF!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CC-4121-82E2-631C5403EB71}"/>
            </c:ext>
          </c:extLst>
        </c:ser>
        <c:ser>
          <c:idx val="2"/>
          <c:order val="3"/>
          <c:tx>
            <c:v>Negotiated Level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CC-4121-82E2-631C5403E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572016"/>
        <c:axId val="500568408"/>
      </c:lineChart>
      <c:catAx>
        <c:axId val="50057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568408"/>
        <c:crosses val="autoZero"/>
        <c:auto val="1"/>
        <c:lblAlgn val="ctr"/>
        <c:lblOffset val="100"/>
        <c:noMultiLvlLbl val="0"/>
      </c:catAx>
      <c:valAx>
        <c:axId val="50056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57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182218</xdr:colOff>
      <xdr:row>6</xdr:row>
      <xdr:rowOff>123825</xdr:rowOff>
    </xdr:from>
    <xdr:to>
      <xdr:col>11</xdr:col>
      <xdr:colOff>476251</xdr:colOff>
      <xdr:row>13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0DF6B9-C525-4DC1-9A3C-72A679ED5D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314325</xdr:colOff>
      <xdr:row>8</xdr:row>
      <xdr:rowOff>47626</xdr:rowOff>
    </xdr:from>
    <xdr:to>
      <xdr:col>30</xdr:col>
      <xdr:colOff>447675</xdr:colOff>
      <xdr:row>11</xdr:row>
      <xdr:rowOff>104776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5707C63-5238-47C8-B6C1-32545FD865A7}"/>
            </a:ext>
          </a:extLst>
        </xdr:cNvPr>
        <xdr:cNvSpPr txBox="1"/>
      </xdr:nvSpPr>
      <xdr:spPr>
        <a:xfrm>
          <a:off x="12677775" y="1543051"/>
          <a:ext cx="501015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Due to data sharing restrictions under the WRIS2 Data Sharing Agreement, denominator counts which represent individuals with wages assessed in the Median Wage 2</a:t>
          </a:r>
          <a:r>
            <a:rPr lang="en-US" sz="10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nd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Quarter After Exit indicators may not be displayed.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206</xdr:row>
      <xdr:rowOff>0</xdr:rowOff>
    </xdr:from>
    <xdr:to>
      <xdr:col>10</xdr:col>
      <xdr:colOff>1000125</xdr:colOff>
      <xdr:row>220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958056-4695-49CA-BF81-644DFF186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7"/>
  <sheetViews>
    <sheetView showGridLines="0" tabSelected="1" zoomScaleNormal="100" workbookViewId="0">
      <selection activeCell="C6" sqref="C6:S6"/>
    </sheetView>
  </sheetViews>
  <sheetFormatPr defaultRowHeight="15" x14ac:dyDescent="0.25"/>
  <cols>
    <col min="1" max="1" width="9.140625" style="7" customWidth="1"/>
    <col min="2" max="2" width="6.5703125" style="7" customWidth="1"/>
    <col min="3" max="3" width="8.28515625" style="7" customWidth="1"/>
    <col min="4" max="4" width="8.42578125" style="7" customWidth="1"/>
    <col min="5" max="5" width="1.28515625" style="7" customWidth="1"/>
    <col min="6" max="6" width="7.140625" style="7" customWidth="1"/>
    <col min="7" max="7" width="13.85546875" style="7" customWidth="1"/>
    <col min="8" max="8" width="8.140625" style="7" customWidth="1"/>
    <col min="9" max="9" width="7.7109375" style="7" customWidth="1"/>
    <col min="10" max="10" width="11.5703125" style="7" customWidth="1"/>
    <col min="11" max="11" width="7.85546875" style="7" customWidth="1"/>
    <col min="12" max="12" width="11.42578125" style="7" customWidth="1"/>
    <col min="13" max="13" width="1.140625" style="7" customWidth="1"/>
    <col min="14" max="14" width="7.28515625" style="7" customWidth="1"/>
    <col min="15" max="15" width="11.85546875" style="7" customWidth="1"/>
    <col min="16" max="16" width="1.28515625" style="7" customWidth="1"/>
    <col min="17" max="17" width="7.42578125" style="7" customWidth="1"/>
    <col min="18" max="18" width="13.5703125" style="7" customWidth="1"/>
    <col min="19" max="19" width="12" style="7" customWidth="1"/>
    <col min="20" max="20" width="8.42578125" style="7" customWidth="1"/>
    <col min="21" max="21" width="11.85546875" style="7" customWidth="1"/>
    <col min="22" max="16384" width="9.140625" style="7"/>
  </cols>
  <sheetData>
    <row r="2" spans="1:27" ht="18" customHeight="1" x14ac:dyDescent="0.35">
      <c r="B2" s="12" t="s">
        <v>260</v>
      </c>
      <c r="C2" s="233" t="s">
        <v>210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69" t="s">
        <v>353</v>
      </c>
      <c r="U2" s="270"/>
    </row>
    <row r="3" spans="1:27" ht="7.5" customHeight="1" x14ac:dyDescent="0.25">
      <c r="D3" s="11"/>
      <c r="E3" s="11"/>
    </row>
    <row r="4" spans="1:27" ht="15.75" customHeight="1" x14ac:dyDescent="0.35">
      <c r="A4" s="243" t="s">
        <v>96</v>
      </c>
      <c r="B4" s="243"/>
      <c r="C4" s="234" t="s">
        <v>103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69" t="s">
        <v>354</v>
      </c>
      <c r="U4" s="269"/>
    </row>
    <row r="5" spans="1:27" ht="8.25" customHeight="1" x14ac:dyDescent="0.25">
      <c r="D5" s="11"/>
      <c r="E5" s="11"/>
    </row>
    <row r="6" spans="1:27" ht="16.5" customHeight="1" x14ac:dyDescent="0.35">
      <c r="B6" s="12" t="s">
        <v>98</v>
      </c>
      <c r="C6" s="234" t="s">
        <v>99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69" t="s">
        <v>355</v>
      </c>
      <c r="U6" s="269"/>
    </row>
    <row r="7" spans="1:27" ht="15" customHeight="1" x14ac:dyDescent="0.25"/>
    <row r="8" spans="1:27" ht="21.75" customHeight="1" x14ac:dyDescent="0.25">
      <c r="C8" s="244"/>
      <c r="D8" s="244"/>
      <c r="E8" s="244"/>
      <c r="F8" s="244"/>
      <c r="G8" s="244"/>
      <c r="H8" s="244"/>
      <c r="I8" s="244"/>
      <c r="J8" s="244"/>
      <c r="K8" s="244"/>
      <c r="L8" s="10"/>
      <c r="M8" s="245" t="s">
        <v>261</v>
      </c>
      <c r="N8" s="246"/>
      <c r="O8" s="247"/>
      <c r="P8" s="272" t="s">
        <v>100</v>
      </c>
      <c r="Q8" s="273"/>
      <c r="R8" s="137" t="s">
        <v>322</v>
      </c>
      <c r="S8" s="138" t="s">
        <v>327</v>
      </c>
    </row>
    <row r="9" spans="1:27" x14ac:dyDescent="0.25">
      <c r="L9" s="13"/>
      <c r="M9" s="235" t="s">
        <v>349</v>
      </c>
      <c r="N9" s="236"/>
      <c r="O9" s="237"/>
      <c r="P9" s="276" t="e">
        <f>VLOOKUP(sel_reg&amp;"_"&amp;2017,Data!$C$1:$Q$202,MATCH(metric_sel,Data!$C$1:$Q$1,0),0)</f>
        <v>#N/A</v>
      </c>
      <c r="Q9" s="277"/>
      <c r="R9" s="194" t="e">
        <f>VLOOKUP(sel_reg&amp;"_"&amp;2017,Den!$C$1:$Q$226,MATCH(metric_sel,Den!$C$1:$Q$1,0),0)</f>
        <v>#N/A</v>
      </c>
      <c r="S9" s="195" t="str">
        <f>IFERROR(($R$9/VLOOKUP(25&amp;"_"&amp;2017,Den!$C$1:$Q$227,MATCH(metric_sel,Den!$C$1:$Q$1,0),0)), "N/A")</f>
        <v>N/A</v>
      </c>
      <c r="AA9" s="135"/>
    </row>
    <row r="10" spans="1:27" x14ac:dyDescent="0.25">
      <c r="L10" s="13"/>
      <c r="M10" s="238" t="s">
        <v>324</v>
      </c>
      <c r="N10" s="239"/>
      <c r="O10" s="240"/>
      <c r="P10" s="276" t="e">
        <f>VLOOKUP(sel_reg&amp;"_"&amp;20181,Data!$C$1:$Q$202,MATCH(metric_sel,Data!$C$1:$Q$1,0),0)</f>
        <v>#N/A</v>
      </c>
      <c r="Q10" s="277"/>
      <c r="R10" s="194" t="e">
        <f>VLOOKUP(sel_reg&amp;"_"&amp;20181,Den!$C$1:$Q$227,MATCH(metric_sel,Den!$C$1:$Q$1,0),0)</f>
        <v>#N/A</v>
      </c>
      <c r="S10" s="195" t="str">
        <f>IFERROR(($R$10/VLOOKUP(25&amp;"_"&amp;20181,Den!$C$1:$Q$227,MATCH(metric_sel,Den!$C$1:$Q$1,0),0)),"N/A")</f>
        <v>N/A</v>
      </c>
    </row>
    <row r="11" spans="1:27" ht="15" customHeight="1" x14ac:dyDescent="0.25">
      <c r="L11" s="13"/>
      <c r="M11" s="248" t="s">
        <v>326</v>
      </c>
      <c r="N11" s="249"/>
      <c r="O11" s="250"/>
      <c r="P11" s="274" t="e">
        <f>VLOOKUP(sel_reg&amp;"_"&amp;2018,AgreedLevel!$C$1:$T$227,MATCH(metric_sel,AgreedLevel!$C$1:$T$1,0),0)</f>
        <v>#N/A</v>
      </c>
      <c r="Q11" s="275"/>
      <c r="R11" s="10"/>
      <c r="S11" s="10"/>
    </row>
    <row r="12" spans="1:27" x14ac:dyDescent="0.25">
      <c r="L12" s="13"/>
      <c r="M12" s="248" t="s">
        <v>325</v>
      </c>
      <c r="N12" s="249"/>
      <c r="O12" s="250"/>
      <c r="P12" s="274" t="e">
        <f>VLOOKUP(sel_reg&amp;"_"&amp;2019,AgreedLevel!$C$1:$T$227,MATCH(metric_sel,AgreedLevel!$C$1:$T$1,0),0)</f>
        <v>#N/A</v>
      </c>
      <c r="Q12" s="275"/>
      <c r="R12" s="10"/>
      <c r="S12" s="10"/>
    </row>
    <row r="13" spans="1:27" x14ac:dyDescent="0.25">
      <c r="P13" s="16"/>
      <c r="Q13" s="16"/>
      <c r="R13" s="10"/>
    </row>
    <row r="14" spans="1:27" ht="10.5" customHeight="1" x14ac:dyDescent="0.25"/>
    <row r="15" spans="1:27" ht="27" customHeight="1" x14ac:dyDescent="0.25">
      <c r="B15" s="264" t="s">
        <v>328</v>
      </c>
      <c r="C15" s="264"/>
      <c r="D15" s="264"/>
      <c r="E15" s="264"/>
      <c r="F15" s="264"/>
      <c r="G15" s="265"/>
      <c r="H15" s="77" t="s">
        <v>342</v>
      </c>
      <c r="I15" s="77" t="s">
        <v>338</v>
      </c>
      <c r="J15" s="77" t="s">
        <v>345</v>
      </c>
      <c r="K15" s="77" t="s">
        <v>339</v>
      </c>
      <c r="L15" s="77" t="s">
        <v>346</v>
      </c>
      <c r="M15" s="256" t="s">
        <v>340</v>
      </c>
      <c r="N15" s="242"/>
      <c r="O15" s="77" t="s">
        <v>347</v>
      </c>
      <c r="P15" s="256" t="s">
        <v>341</v>
      </c>
      <c r="Q15" s="242"/>
      <c r="R15" s="77" t="s">
        <v>348</v>
      </c>
      <c r="S15" s="77" t="s">
        <v>343</v>
      </c>
      <c r="T15" s="77" t="s">
        <v>344</v>
      </c>
      <c r="U15" s="77" t="s">
        <v>337</v>
      </c>
    </row>
    <row r="16" spans="1:27" x14ac:dyDescent="0.25">
      <c r="A16" s="271" t="str">
        <f>_22_CareerSource_Broward</f>
        <v>State</v>
      </c>
      <c r="B16" s="78" t="s">
        <v>332</v>
      </c>
      <c r="C16" s="79"/>
      <c r="D16" s="79"/>
      <c r="E16" s="79"/>
      <c r="F16" s="79"/>
      <c r="G16" s="80"/>
      <c r="H16" s="80"/>
      <c r="I16" s="81"/>
      <c r="J16" s="82"/>
      <c r="K16" s="82"/>
      <c r="L16" s="82"/>
      <c r="M16" s="261"/>
      <c r="N16" s="262"/>
      <c r="O16" s="82"/>
      <c r="P16" s="257"/>
      <c r="Q16" s="258"/>
      <c r="R16" s="90"/>
      <c r="S16" s="82"/>
      <c r="T16" s="82"/>
      <c r="U16" s="82"/>
      <c r="V16" s="75"/>
      <c r="W16" s="75"/>
      <c r="X16" s="75"/>
    </row>
    <row r="17" spans="1:24" x14ac:dyDescent="0.25">
      <c r="A17" s="271"/>
      <c r="B17" s="279" t="s">
        <v>329</v>
      </c>
      <c r="C17" s="279"/>
      <c r="D17" s="279"/>
      <c r="E17" s="279"/>
      <c r="F17" s="279"/>
      <c r="G17" s="279"/>
      <c r="H17" s="84">
        <f>VLOOKUP(sel_reg&amp;"_"&amp;2017,AgreedLevel!$C$1:$Q$227,MATCH("AdultEmp2",AgreedLevel!$C$1:$Q$1,0),0)</f>
        <v>89</v>
      </c>
      <c r="I17" s="129">
        <f>VLOOKUP(sel_reg&amp;"_"&amp;20171,Achievement!$C$1:$Q$202,MATCH("AdultEmp2",Data!$C$1:$Q$1,0),0)</f>
        <v>84.8</v>
      </c>
      <c r="J17" s="130">
        <f>SUM(I17/H17)</f>
        <v>0.95280898876404496</v>
      </c>
      <c r="K17" s="76">
        <f>VLOOKUP(sel_reg&amp;"_"&amp;20172,Achievement!$C$1:$Q$202,MATCH("AdultEmp2",Data!$C$1:$Q$1,0),0)</f>
        <v>86.7</v>
      </c>
      <c r="L17" s="130">
        <f>SUM(K17/H17)</f>
        <v>0.97415730337078654</v>
      </c>
      <c r="M17" s="251">
        <f>VLOOKUP(sel_reg&amp;"_"&amp;20173,Achievement!$C$1:$Q$202,MATCH("AdultEmp2",Data!$C$1:$Q$1,0),0)</f>
        <v>86.6</v>
      </c>
      <c r="N17" s="252"/>
      <c r="O17" s="130">
        <f>SUM(M17/H17)</f>
        <v>0.97303370786516852</v>
      </c>
      <c r="P17" s="251">
        <f>VLOOKUP(sel_reg&amp;"_"&amp;20174,Achievement!$C$1:$Q$202,MATCH("AdultEmp2",Data!$C$1:$Q$1,0),0)</f>
        <v>88.4</v>
      </c>
      <c r="Q17" s="252"/>
      <c r="R17" s="91">
        <f>SUM(P17/H17)</f>
        <v>0.99325842696629218</v>
      </c>
      <c r="S17" s="84">
        <f>VLOOKUP(sel_reg&amp;"_"&amp;2018,AgreedLevel!$C$1:$Q$227,MATCH("AdultEmp2",AgreedLevel!$C$1:$Q$1,0),0)</f>
        <v>85</v>
      </c>
      <c r="T17" s="193">
        <f>VLOOKUP(sel_reg&amp;"_"&amp;20181,Achievement!$C$1:$Q$202,MATCH("AdultEmp2",Data!$C$1:$Q$1,0),0)</f>
        <v>88.7</v>
      </c>
      <c r="U17" s="130">
        <f>SUM(T17/S17)</f>
        <v>1.0435294117647058</v>
      </c>
      <c r="V17" s="75"/>
      <c r="W17" s="75"/>
      <c r="X17" s="75"/>
    </row>
    <row r="18" spans="1:24" x14ac:dyDescent="0.25">
      <c r="A18" s="271"/>
      <c r="B18" s="263" t="s">
        <v>330</v>
      </c>
      <c r="C18" s="263"/>
      <c r="D18" s="263"/>
      <c r="E18" s="263"/>
      <c r="F18" s="263"/>
      <c r="G18" s="263"/>
      <c r="H18" s="83">
        <f>VLOOKUP(sel_reg&amp;"_"&amp;2017,AgreedLevel!$C$1:$Q$227,MATCH("AdultEarn",AgreedLevel!$C$1:$Q$1,0),0)</f>
        <v>7850</v>
      </c>
      <c r="I18" s="131">
        <f>VLOOKUP(sel_reg&amp;"_"&amp;20171,Achievement!$C$1:$Q$202,MATCH("AdultEarn",Data!$C$1:$Q$1,0),0)</f>
        <v>6955</v>
      </c>
      <c r="J18" s="130">
        <f t="shared" ref="J18:J33" si="0">SUM(I18/H18)</f>
        <v>0.88598726114649684</v>
      </c>
      <c r="K18" s="131">
        <f>VLOOKUP(sel_reg&amp;"_"&amp;20172,Achievement!$C$1:$Q$202,MATCH("AdultEarn",Data!$C$1:$Q$1,0),0)</f>
        <v>6961</v>
      </c>
      <c r="L18" s="130">
        <f t="shared" ref="L18:L33" si="1">SUM(K18/H18)</f>
        <v>0.88675159235668788</v>
      </c>
      <c r="M18" s="259">
        <f>VLOOKUP(sel_reg&amp;"_"&amp;20173,Achievement!$C$1:$Q$202,MATCH("AdultEarn",Data!$C$1:$Q$1,0),0)</f>
        <v>6889</v>
      </c>
      <c r="N18" s="260"/>
      <c r="O18" s="130">
        <f t="shared" ref="O18:O33" si="2">SUM(M18/H18)</f>
        <v>0.87757961783439487</v>
      </c>
      <c r="P18" s="259">
        <f>VLOOKUP(sel_reg&amp;"_"&amp;20174,Achievement!$C$1:$Q$202,MATCH("AdultEarn",Data!$C$1:$Q$1,0),0)</f>
        <v>7605</v>
      </c>
      <c r="Q18" s="260"/>
      <c r="R18" s="91">
        <f t="shared" ref="R18:R33" si="3">SUM(P18/H18)</f>
        <v>0.96878980891719746</v>
      </c>
      <c r="S18" s="83">
        <f>VLOOKUP(sel_reg&amp;"_"&amp;2018,AgreedLevel!$C$1:$Q$227,MATCH("AdultEarn",AgreedLevel!$C$1:$Q$1,0),0)</f>
        <v>6850</v>
      </c>
      <c r="T18" s="139">
        <f>VLOOKUP(sel_reg&amp;"_"&amp;20181,Data!$C$1:$Q$202,MATCH("AdultEarn",Data!$C$1:$Q$1,0),0)</f>
        <v>7800</v>
      </c>
      <c r="U18" s="130">
        <f>SUM(T18/S18)</f>
        <v>1.1386861313868613</v>
      </c>
      <c r="V18" s="75"/>
      <c r="W18" s="75"/>
      <c r="X18" s="75"/>
    </row>
    <row r="19" spans="1:24" x14ac:dyDescent="0.25">
      <c r="A19" s="271"/>
      <c r="B19" s="263" t="s">
        <v>331</v>
      </c>
      <c r="C19" s="263"/>
      <c r="D19" s="263"/>
      <c r="E19" s="263"/>
      <c r="F19" s="263"/>
      <c r="G19" s="263"/>
      <c r="H19" s="84">
        <f>VLOOKUP(sel_reg&amp;"_"&amp;2017,AgreedLevel!$C$1:$Q$227,MATCH("AdultEmp4",AgreedLevel!$C$1:$Q$1,0),0)</f>
        <v>85</v>
      </c>
      <c r="I19" s="129">
        <f>VLOOKUP(sel_reg&amp;"_"&amp;20171,Achievement!$C$1:$Q$202,MATCH("AdultEmp4",Data!$C$1:$Q$1,0),0)</f>
        <v>0</v>
      </c>
      <c r="J19" s="130">
        <f t="shared" si="0"/>
        <v>0</v>
      </c>
      <c r="K19" s="129">
        <f>VLOOKUP(sel_reg&amp;"_"&amp;20172,Achievement!$C$1:$Q$202,MATCH("AdultEmp4",Data!$C$1:$Q$1,0),0)</f>
        <v>0</v>
      </c>
      <c r="L19" s="130">
        <f t="shared" si="1"/>
        <v>0</v>
      </c>
      <c r="M19" s="251">
        <f>VLOOKUP(sel_reg&amp;"_"&amp;20173,Achievement!$C$1:$Q$202,MATCH("AdultEmp4",Data!$C$1:$Q$1,0),0)</f>
        <v>83.1</v>
      </c>
      <c r="N19" s="252"/>
      <c r="O19" s="130">
        <f t="shared" si="2"/>
        <v>0.97764705882352931</v>
      </c>
      <c r="P19" s="251">
        <f>VLOOKUP(sel_reg&amp;"_"&amp;20174,Achievement!$C$1:$Q$202,MATCH("AdultEmp4",Data!$C$1:$Q$1,0),0)</f>
        <v>84.4</v>
      </c>
      <c r="Q19" s="252"/>
      <c r="R19" s="91">
        <f t="shared" si="3"/>
        <v>0.99294117647058833</v>
      </c>
      <c r="S19" s="84">
        <f>VLOOKUP(sel_reg&amp;"_"&amp;2018,AgreedLevel!$C$1:$Q$227,MATCH("AdultEmp4",AgreedLevel!$C$1:$Q$1,0),0)</f>
        <v>82.5</v>
      </c>
      <c r="T19" s="193">
        <f>VLOOKUP(sel_reg&amp;"_"&amp;20181,Data!$C$1:$Q$202,MATCH("AdultEmp4",Data!$C$1:$Q$1,0),0)</f>
        <v>84.54</v>
      </c>
      <c r="U19" s="130">
        <f>SUM(T19/S19)</f>
        <v>1.0247272727272727</v>
      </c>
      <c r="V19" s="75"/>
      <c r="W19" s="75"/>
      <c r="X19" s="75"/>
    </row>
    <row r="20" spans="1:24" x14ac:dyDescent="0.25">
      <c r="A20" s="271"/>
      <c r="B20" s="263" t="s">
        <v>19</v>
      </c>
      <c r="C20" s="263"/>
      <c r="D20" s="263"/>
      <c r="E20" s="263"/>
      <c r="F20" s="263"/>
      <c r="G20" s="263"/>
      <c r="H20" s="84">
        <f>VLOOKUP(sel_reg&amp;"_"&amp;2017,AgreedLevel!$C$1:$Q$227,MATCH("AdultCred",AgreedLevel!$C$1:$Q$1,0),0)</f>
        <v>0</v>
      </c>
      <c r="I20" s="129">
        <f>VLOOKUP(sel_reg&amp;"_"&amp;20171,Achievement!$C$1:$Q$202,MATCH("AdultCred",Data!$C$1:$Q$1,0),0)</f>
        <v>0</v>
      </c>
      <c r="J20" s="130">
        <f>IFERROR(I20/H20, 0)</f>
        <v>0</v>
      </c>
      <c r="K20" s="129">
        <f>VLOOKUP(sel_reg&amp;"_"&amp;20172,Achievement!$C$1:$Q$202,MATCH("AdultCred",Data!$C$1:$Q$1,0),0)</f>
        <v>0</v>
      </c>
      <c r="L20" s="130">
        <f>IFERROR(K20/H20, 0)</f>
        <v>0</v>
      </c>
      <c r="M20" s="251">
        <f>VLOOKUP(sel_reg&amp;"_"&amp;20173,Achievement!$C$1:$Q$202,MATCH("AdultCred",Data!$C$1:$Q$1,0),0)</f>
        <v>0</v>
      </c>
      <c r="N20" s="252"/>
      <c r="O20" s="130">
        <f>IFERROR(M20/H20, 0)</f>
        <v>0</v>
      </c>
      <c r="P20" s="251">
        <f>VLOOKUP(sel_reg&amp;"_"&amp;20174,Achievement!$C$1:$Q$202,MATCH("AdultCred",Data!$C$1:$Q$1,0),0)</f>
        <v>85</v>
      </c>
      <c r="Q20" s="252"/>
      <c r="R20" s="91">
        <f>IFERROR(P20/H20, 0)</f>
        <v>0</v>
      </c>
      <c r="S20" s="84">
        <f>VLOOKUP(sel_reg&amp;"_"&amp;2018,AgreedLevel!$C$1:$Q$227,MATCH("AdultCred",AgreedLevel!$C$1:$Q$1,0),0)</f>
        <v>62</v>
      </c>
      <c r="T20" s="193">
        <f>VLOOKUP(sel_reg&amp;"_"&amp;20181,Data!$C$1:$Q$202,MATCH("AdultCred",Data!$C$1:$Q$1,0),0)</f>
        <v>84.1</v>
      </c>
      <c r="U20" s="130">
        <f>SUM(T20/S20)</f>
        <v>1.3564516129032258</v>
      </c>
      <c r="V20" s="75"/>
      <c r="W20" s="75"/>
      <c r="X20" s="75"/>
    </row>
    <row r="21" spans="1:24" x14ac:dyDescent="0.25">
      <c r="A21" s="271"/>
      <c r="B21" s="266" t="s">
        <v>333</v>
      </c>
      <c r="C21" s="267"/>
      <c r="D21" s="267"/>
      <c r="E21" s="267"/>
      <c r="F21" s="267"/>
      <c r="G21" s="268"/>
      <c r="H21" s="85"/>
      <c r="I21" s="80"/>
      <c r="J21" s="132"/>
      <c r="K21" s="132"/>
      <c r="L21" s="132"/>
      <c r="M21" s="254"/>
      <c r="N21" s="255"/>
      <c r="O21" s="133"/>
      <c r="P21" s="257"/>
      <c r="Q21" s="258"/>
      <c r="R21" s="134"/>
      <c r="S21" s="85"/>
      <c r="T21" s="132"/>
      <c r="U21" s="133"/>
      <c r="V21" s="75"/>
      <c r="W21" s="75"/>
      <c r="X21" s="75"/>
    </row>
    <row r="22" spans="1:24" x14ac:dyDescent="0.25">
      <c r="A22" s="271"/>
      <c r="B22" s="263" t="s">
        <v>329</v>
      </c>
      <c r="C22" s="263"/>
      <c r="D22" s="263"/>
      <c r="E22" s="263"/>
      <c r="F22" s="263"/>
      <c r="G22" s="263"/>
      <c r="H22" s="84">
        <f>VLOOKUP(sel_reg&amp;"_"&amp;2017,AgreedLevel!$C$1:$Q$227,MATCH("DWEmp2",AgreedLevel!$C$1:$Q$1,0),0)</f>
        <v>83</v>
      </c>
      <c r="I22" s="129">
        <f>VLOOKUP(sel_reg&amp;"_"&amp;20171,Achievement!$C$1:$Q$202,MATCH("DWEmp2",Data!$C$1:$Q$1,0),0)</f>
        <v>88.77</v>
      </c>
      <c r="J22" s="130">
        <f t="shared" si="0"/>
        <v>1.0695180722891566</v>
      </c>
      <c r="K22" s="129">
        <f>VLOOKUP(sel_reg&amp;"_"&amp;20172,Achievement!$C$1:$Q$202,MATCH("DWEmp2",Data!$C$1:$Q$1,0),0)</f>
        <v>89.8</v>
      </c>
      <c r="L22" s="130">
        <f t="shared" si="1"/>
        <v>1.0819277108433734</v>
      </c>
      <c r="M22" s="242">
        <f>VLOOKUP(sel_reg&amp;"_"&amp;20173,Achievement!$C$1:$Q$202,MATCH("DWEmp2",Data!$C$1:$Q$1,0),0)</f>
        <v>88.8</v>
      </c>
      <c r="N22" s="242"/>
      <c r="O22" s="130">
        <f t="shared" si="2"/>
        <v>1.0698795180722891</v>
      </c>
      <c r="P22" s="242">
        <f>VLOOKUP(sel_reg&amp;"_"&amp;20174,Achievement!$C$1:$Q$202,MATCH("DWEmp2",Data!$C$1:$Q$1,0),0)</f>
        <v>88.7</v>
      </c>
      <c r="Q22" s="242"/>
      <c r="R22" s="91">
        <f t="shared" si="3"/>
        <v>1.0686746987951807</v>
      </c>
      <c r="S22" s="84">
        <f>VLOOKUP(sel_reg&amp;"_"&amp;2018,AgreedLevel!$C$1:$Q$227,MATCH("DWEmp2",AgreedLevel!$C$1:$Q$1,0),0)</f>
        <v>83</v>
      </c>
      <c r="T22" s="193">
        <f>VLOOKUP(sel_reg&amp;"_"&amp;20181,Data!$C$1:$Q$202,MATCH("DWEmp2",Data!$C$1:$Q$1,0),0)</f>
        <v>89.070000000000007</v>
      </c>
      <c r="U22" s="130">
        <f>SUM(T22/S22)</f>
        <v>1.0731325301204819</v>
      </c>
      <c r="V22" s="75"/>
      <c r="W22" s="75"/>
      <c r="X22" s="75"/>
    </row>
    <row r="23" spans="1:24" x14ac:dyDescent="0.25">
      <c r="A23" s="271"/>
      <c r="B23" s="263" t="s">
        <v>330</v>
      </c>
      <c r="C23" s="263"/>
      <c r="D23" s="263"/>
      <c r="E23" s="263"/>
      <c r="F23" s="263"/>
      <c r="G23" s="263"/>
      <c r="H23" s="83">
        <f>VLOOKUP(sel_reg&amp;"_"&amp;2017,AgreedLevel!$C$1:$Q$227,MATCH("DWEarn",AgreedLevel!$C$1:$Q$1,0),0)</f>
        <v>6850</v>
      </c>
      <c r="I23" s="131">
        <f>VLOOKUP(sel_reg&amp;"_"&amp;20171,Achievement!$C$1:$Q$202,MATCH("DWEarn",Data!$C$1:$Q$1,0),0)</f>
        <v>7668</v>
      </c>
      <c r="J23" s="130">
        <f t="shared" si="0"/>
        <v>1.1194160583941606</v>
      </c>
      <c r="K23" s="131">
        <f>VLOOKUP(sel_reg&amp;"_"&amp;20172,Achievement!$C$1:$Q$202,MATCH("DWEarn",Data!$C$1:$Q$1,0),0)</f>
        <v>7793</v>
      </c>
      <c r="L23" s="130">
        <f t="shared" si="1"/>
        <v>1.1376642335766423</v>
      </c>
      <c r="M23" s="242">
        <f>VLOOKUP(sel_reg&amp;"_"&amp;20173,Achievement!$C$1:$Q$202,MATCH("DWEarn",Data!$C$1:$Q$1,0),0)</f>
        <v>7800</v>
      </c>
      <c r="N23" s="242"/>
      <c r="O23" s="130">
        <f t="shared" si="2"/>
        <v>1.1386861313868613</v>
      </c>
      <c r="P23" s="241">
        <f>VLOOKUP(sel_reg&amp;"_"&amp;20174,Achievement!$C$1:$Q$202,MATCH("DWEarn",Data!$C$1:$Q$1,0),0)</f>
        <v>7912</v>
      </c>
      <c r="Q23" s="241"/>
      <c r="R23" s="91">
        <f t="shared" si="3"/>
        <v>1.155036496350365</v>
      </c>
      <c r="S23" s="83">
        <f>VLOOKUP(sel_reg&amp;"_"&amp;2018,AgreedLevel!$C$1:$Q$227,MATCH("DWEarn",AgreedLevel!$C$1:$Q$1,0),0)</f>
        <v>6850</v>
      </c>
      <c r="T23" s="192">
        <f>VLOOKUP(sel_reg&amp;"_"&amp;20181,Data!$C$1:$Q$202,MATCH("DWEarn",Data!$C$1:$Q$1,0),0)</f>
        <v>7968</v>
      </c>
      <c r="U23" s="130">
        <f>SUM(T23/S23)</f>
        <v>1.1632116788321167</v>
      </c>
      <c r="V23" s="75"/>
      <c r="W23" s="75"/>
      <c r="X23" s="75"/>
    </row>
    <row r="24" spans="1:24" x14ac:dyDescent="0.25">
      <c r="A24" s="271"/>
      <c r="B24" s="263" t="s">
        <v>331</v>
      </c>
      <c r="C24" s="263"/>
      <c r="D24" s="263"/>
      <c r="E24" s="263"/>
      <c r="F24" s="263"/>
      <c r="G24" s="263"/>
      <c r="H24" s="84">
        <f>VLOOKUP(sel_reg&amp;"_"&amp;2017,AgreedLevel!$C$1:$Q$227,MATCH("DWEmp4",AgreedLevel!$C$1:$Q$1,0),0)</f>
        <v>79</v>
      </c>
      <c r="I24" s="129">
        <f>VLOOKUP(sel_reg&amp;"_"&amp;20171,Achievement!$C$1:$Q$202,MATCH("DWEmp4",Data!$C$1:$Q$1,0),0)</f>
        <v>0</v>
      </c>
      <c r="J24" s="130">
        <f t="shared" si="0"/>
        <v>0</v>
      </c>
      <c r="K24" s="76">
        <f>VLOOKUP(sel_reg&amp;"_"&amp;20172,Achievement!$C$1:$Q$202,MATCH("DWEmp4",Data!$C$1:$Q$1,0),0)</f>
        <v>0</v>
      </c>
      <c r="L24" s="130">
        <f t="shared" si="1"/>
        <v>0</v>
      </c>
      <c r="M24" s="242">
        <f>VLOOKUP(sel_reg&amp;"_"&amp;20173,Achievement!$C$1:$Q$202,MATCH("DWEmp4",Data!$C$1:$Q$1,0),0)</f>
        <v>86.2</v>
      </c>
      <c r="N24" s="242"/>
      <c r="O24" s="130">
        <f>SUM(M24/H24)</f>
        <v>1.0911392405063292</v>
      </c>
      <c r="P24" s="242">
        <f>VLOOKUP(sel_reg&amp;"_"&amp;20174,Achievement!$C$1:$Q$202,MATCH("DWEmp4",Data!$C$1:$Q$1,0),0)</f>
        <v>87.5</v>
      </c>
      <c r="Q24" s="242"/>
      <c r="R24" s="91">
        <f t="shared" si="3"/>
        <v>1.1075949367088607</v>
      </c>
      <c r="S24" s="84">
        <f>VLOOKUP(sel_reg&amp;"_"&amp;2018,AgreedLevel!$C$1:$Q$227,MATCH("DWEmp4",AgreedLevel!$C$1:$Q$1,0),0)</f>
        <v>79</v>
      </c>
      <c r="T24" s="193">
        <f>VLOOKUP(sel_reg&amp;"_"&amp;20181,Data!$C$1:$Q$202,MATCH("DWEmp4",Data!$C$1:$Q$1,0),0)</f>
        <v>86.831000000000003</v>
      </c>
      <c r="U24" s="130">
        <f>SUM(T24/S24)</f>
        <v>1.099126582278481</v>
      </c>
      <c r="V24" s="75"/>
      <c r="W24" s="75"/>
      <c r="X24" s="75"/>
    </row>
    <row r="25" spans="1:24" x14ac:dyDescent="0.25">
      <c r="A25" s="271"/>
      <c r="B25" s="263" t="s">
        <v>19</v>
      </c>
      <c r="C25" s="263"/>
      <c r="D25" s="263"/>
      <c r="E25" s="263"/>
      <c r="F25" s="263"/>
      <c r="G25" s="263"/>
      <c r="H25" s="84">
        <f>VLOOKUP(sel_reg&amp;"_"&amp;2017,AgreedLevel!$C$1:$Q$227,MATCH("DWCred",AgreedLevel!$C$1:$Q$1,0),0)</f>
        <v>0</v>
      </c>
      <c r="I25" s="129">
        <f>VLOOKUP(sel_reg&amp;"_"&amp;20171,Achievement!$C$1:$Q$202,MATCH("DWCred",Data!$C$1:$Q$1,0),0)</f>
        <v>0</v>
      </c>
      <c r="J25" s="130">
        <f>IFERROR(I25/H25, 0)</f>
        <v>0</v>
      </c>
      <c r="K25" s="76">
        <f>VLOOKUP(sel_reg&amp;"_"&amp;20172,Achievement!$C$1:$Q$202,MATCH("DWCred",Data!$C$1:$Q$1,0),0)</f>
        <v>0</v>
      </c>
      <c r="L25" s="130">
        <f>IFERROR(K25/H25, 0)</f>
        <v>0</v>
      </c>
      <c r="M25" s="251">
        <f>VLOOKUP(sel_reg&amp;"_"&amp;20173,Achievement!$C$1:$Q$202,MATCH("DWCred",Data!$C$1:$Q$1,0),0)</f>
        <v>0</v>
      </c>
      <c r="N25" s="252"/>
      <c r="O25" s="130">
        <f>IFERROR(M25/H25, 0)</f>
        <v>0</v>
      </c>
      <c r="P25" s="251">
        <f>VLOOKUP(sel_reg&amp;"_"&amp;20174,Achievement!$C$1:$Q$202,MATCH("DWCred",Data!$C$1:$Q$1,0),0)</f>
        <v>82.6</v>
      </c>
      <c r="Q25" s="252"/>
      <c r="R25" s="91">
        <f>IFERROR(P25/H25, 0)</f>
        <v>0</v>
      </c>
      <c r="S25" s="84">
        <f>VLOOKUP(sel_reg&amp;"_"&amp;2018,AgreedLevel!$C$1:$Q$227,MATCH("DWCred",AgreedLevel!$C$1:$Q$1,0),0)</f>
        <v>68</v>
      </c>
      <c r="T25" s="193">
        <f>VLOOKUP(sel_reg&amp;"_"&amp;20181,Data!$C$1:$Q$202,MATCH("DWCred",Data!$C$1:$Q$1,0),0)</f>
        <v>83.4</v>
      </c>
      <c r="U25" s="130">
        <f>SUM(T25/S25)</f>
        <v>1.2264705882352942</v>
      </c>
      <c r="V25" s="75"/>
      <c r="W25" s="75"/>
      <c r="X25" s="75"/>
    </row>
    <row r="26" spans="1:24" x14ac:dyDescent="0.25">
      <c r="A26" s="271"/>
      <c r="B26" s="78" t="s">
        <v>334</v>
      </c>
      <c r="C26" s="79"/>
      <c r="D26" s="79"/>
      <c r="E26" s="79"/>
      <c r="F26" s="79"/>
      <c r="G26" s="80"/>
      <c r="H26" s="85"/>
      <c r="I26" s="80"/>
      <c r="J26" s="132"/>
      <c r="K26" s="132"/>
      <c r="L26" s="132"/>
      <c r="M26" s="254"/>
      <c r="N26" s="255"/>
      <c r="O26" s="133"/>
      <c r="P26" s="257"/>
      <c r="Q26" s="258"/>
      <c r="R26" s="134"/>
      <c r="S26" s="85"/>
      <c r="T26" s="132"/>
      <c r="U26" s="133"/>
      <c r="V26" s="75"/>
      <c r="W26" s="75"/>
      <c r="X26" s="75"/>
    </row>
    <row r="27" spans="1:24" x14ac:dyDescent="0.25">
      <c r="A27" s="271"/>
      <c r="B27" s="263" t="s">
        <v>336</v>
      </c>
      <c r="C27" s="263"/>
      <c r="D27" s="263"/>
      <c r="E27" s="263"/>
      <c r="F27" s="263"/>
      <c r="G27" s="263"/>
      <c r="H27" s="84">
        <f>VLOOKUP(sel_reg&amp;"_"&amp;2017,AgreedLevel!$C$1:$Q$227,MATCH("YouthEmp2",AgreedLevel!$C$1:$Q$1,0),0)</f>
        <v>76</v>
      </c>
      <c r="I27" s="129">
        <f>VLOOKUP(sel_reg&amp;"_"&amp;20171,Achievement!$C$1:$Q$202,MATCH("YouthEmp2",Data!$C$1:$Q$1,0),0)</f>
        <v>83.08</v>
      </c>
      <c r="J27" s="130">
        <f t="shared" si="0"/>
        <v>1.0931578947368421</v>
      </c>
      <c r="K27" s="76">
        <f>VLOOKUP(sel_reg&amp;"_"&amp;20172,Achievement!$C$1:$Q$202,MATCH("YouthEmp2",Data!$C$1:$Q$1,0),0)</f>
        <v>83.6</v>
      </c>
      <c r="L27" s="130">
        <f t="shared" si="1"/>
        <v>1.0999999999999999</v>
      </c>
      <c r="M27" s="242">
        <f>VLOOKUP(sel_reg&amp;"_"&amp;20173,Achievement!$C$1:$Q$202,MATCH("YouthEmp2",Data!$C$1:$Q$1,0),0)</f>
        <v>82.6</v>
      </c>
      <c r="N27" s="242"/>
      <c r="O27" s="130">
        <f t="shared" si="2"/>
        <v>1.0868421052631578</v>
      </c>
      <c r="P27" s="242">
        <f>VLOOKUP(sel_reg&amp;"_"&amp;20174,Achievement!$C$1:$Q$202,MATCH("YouthEmp2",Data!$C$1:$Q$1,0),0)</f>
        <v>83</v>
      </c>
      <c r="Q27" s="242"/>
      <c r="R27" s="91">
        <f t="shared" si="3"/>
        <v>1.0921052631578947</v>
      </c>
      <c r="S27" s="84">
        <f>VLOOKUP(sel_reg&amp;"_"&amp;2018,AgreedLevel!$C$1:$Q$227,MATCH("YouthEmp2",AgreedLevel!$C$1:$Q$1,0),0)</f>
        <v>75</v>
      </c>
      <c r="T27" s="193">
        <f>VLOOKUP(sel_reg&amp;"_"&amp;20181,Data!$C$1:$Q$202,MATCH("YouthEmp2",Data!$C$1:$Q$1,0),0)</f>
        <v>82.718999999999994</v>
      </c>
      <c r="U27" s="130">
        <f>SUM(T27/S27)</f>
        <v>1.1029199999999999</v>
      </c>
      <c r="V27" s="75"/>
      <c r="W27" s="75"/>
      <c r="X27" s="75"/>
    </row>
    <row r="28" spans="1:24" x14ac:dyDescent="0.25">
      <c r="A28" s="271"/>
      <c r="B28" s="263" t="s">
        <v>335</v>
      </c>
      <c r="C28" s="263"/>
      <c r="D28" s="263"/>
      <c r="E28" s="263"/>
      <c r="F28" s="263"/>
      <c r="G28" s="263"/>
      <c r="H28" s="84">
        <f>VLOOKUP(sel_reg&amp;"_"&amp;2017,AgreedLevel!$C$1:$Q$227,MATCH("YouthEmp4",AgreedLevel!$C$1:$Q$1,0),0)</f>
        <v>69</v>
      </c>
      <c r="I28" s="129">
        <f>VLOOKUP(sel_reg&amp;"_"&amp;20171,Achievement!$C$1:$Q$202,MATCH("YouthEmp4",Data!$C$1:$Q$1,0),0)</f>
        <v>0</v>
      </c>
      <c r="J28" s="130">
        <f t="shared" si="0"/>
        <v>0</v>
      </c>
      <c r="K28" s="76">
        <f>VLOOKUP(sel_reg&amp;"_"&amp;20172,Achievement!$C$1:$Q$202,MATCH("YouthEmp4",Data!$C$1:$Q$1,0),0)</f>
        <v>0</v>
      </c>
      <c r="L28" s="130">
        <f t="shared" si="1"/>
        <v>0</v>
      </c>
      <c r="M28" s="242">
        <f>VLOOKUP(sel_reg&amp;"_"&amp;20173,Achievement!$C$1:$Q$202,MATCH("YouthEmp4",Data!$C$1:$Q$1,0),0)</f>
        <v>0</v>
      </c>
      <c r="N28" s="242"/>
      <c r="O28" s="130">
        <f t="shared" si="2"/>
        <v>0</v>
      </c>
      <c r="P28" s="242">
        <f>VLOOKUP(sel_reg&amp;"_"&amp;20174,Achievement!$C$1:$Q$202,MATCH("YouthEmp4",Data!$C$1:$Q$1,0),0)</f>
        <v>83.1</v>
      </c>
      <c r="Q28" s="242"/>
      <c r="R28" s="91">
        <f t="shared" si="3"/>
        <v>1.2043478260869565</v>
      </c>
      <c r="S28" s="84">
        <f>VLOOKUP(sel_reg&amp;"_"&amp;2018,AgreedLevel!$C$1:$Q$227,MATCH("YouthEmp4",AgreedLevel!$C$1:$Q$1,0),0)</f>
        <v>69</v>
      </c>
      <c r="T28" s="193">
        <f>VLOOKUP(sel_reg&amp;"_"&amp;20181,Data!$C$1:$Q$202,MATCH("YouthEmp4",Data!$C$1:$Q$1,0),0)</f>
        <v>80.971999999999994</v>
      </c>
      <c r="U28" s="130">
        <f>SUM(T28/S28)</f>
        <v>1.1735072463768115</v>
      </c>
      <c r="V28" s="75"/>
      <c r="W28" s="75"/>
      <c r="X28" s="75"/>
    </row>
    <row r="29" spans="1:24" x14ac:dyDescent="0.25">
      <c r="A29" s="271"/>
      <c r="B29" s="263" t="s">
        <v>19</v>
      </c>
      <c r="C29" s="263"/>
      <c r="D29" s="263"/>
      <c r="E29" s="263"/>
      <c r="F29" s="263"/>
      <c r="G29" s="263"/>
      <c r="H29" s="84">
        <f>VLOOKUP(sel_reg&amp;"_"&amp;2017,AgreedLevel!$C$1:$Q$227,MATCH("YouthCred",AgreedLevel!$C$1:$Q$1,0),0)</f>
        <v>0</v>
      </c>
      <c r="I29" s="129">
        <f>VLOOKUP(sel_reg&amp;"_"&amp;20171,Achievement!$C$1:$Q$202,MATCH("YouthCred",Data!$C$1:$Q$1,0),0)</f>
        <v>0</v>
      </c>
      <c r="J29" s="130">
        <f>IFERROR(I29/H29, 0)</f>
        <v>0</v>
      </c>
      <c r="K29" s="76">
        <f>VLOOKUP(sel_reg&amp;"_"&amp;20172,Achievement!$C$1:$Q$202,MATCH("YouthCred",Data!$C$1:$Q$1,0),0)</f>
        <v>0</v>
      </c>
      <c r="L29" s="130">
        <f>IFERROR(K29/H29, 0)</f>
        <v>0</v>
      </c>
      <c r="M29" s="251">
        <f>VLOOKUP(sel_reg&amp;"_"&amp;20173,Achievement!$C$1:$Q$202,MATCH("YouthCred",Data!$C$1:$Q$1,0),0)</f>
        <v>0</v>
      </c>
      <c r="N29" s="252"/>
      <c r="O29" s="130">
        <f>IFERROR(M29/H29, 0)</f>
        <v>0</v>
      </c>
      <c r="P29" s="251">
        <f>VLOOKUP(sel_reg&amp;"_"&amp;20174,Achievement!$C$1:$Q$202,MATCH("YouthCred",Data!$C$1:$Q$1,0),0)</f>
        <v>87.9</v>
      </c>
      <c r="Q29" s="252"/>
      <c r="R29" s="91">
        <f>IFERROR(P29/H29, 0)</f>
        <v>0</v>
      </c>
      <c r="S29" s="84">
        <f>VLOOKUP(sel_reg&amp;"_"&amp;2018,AgreedLevel!$C$1:$Q$227,MATCH("YouthCred",AgreedLevel!$C$1:$Q$1,0),0)</f>
        <v>75.2</v>
      </c>
      <c r="T29" s="193">
        <f>VLOOKUP(sel_reg&amp;"_"&amp;20181,Data!$C$1:$Q$202,MATCH("YouthCred",Data!$C$1:$Q$1,0),0)</f>
        <v>86.337000000000003</v>
      </c>
      <c r="U29" s="130">
        <f>SUM(T29/S29)</f>
        <v>1.1480984042553191</v>
      </c>
      <c r="V29" s="75"/>
      <c r="W29" s="75"/>
      <c r="X29" s="75"/>
    </row>
    <row r="30" spans="1:24" x14ac:dyDescent="0.25">
      <c r="A30" s="271"/>
      <c r="B30" s="278" t="s">
        <v>112</v>
      </c>
      <c r="C30" s="278"/>
      <c r="D30" s="278"/>
      <c r="E30" s="278"/>
      <c r="F30" s="278"/>
      <c r="G30" s="278"/>
      <c r="H30" s="82"/>
      <c r="I30" s="132"/>
      <c r="J30" s="132"/>
      <c r="K30" s="132"/>
      <c r="L30" s="132"/>
      <c r="M30" s="254"/>
      <c r="N30" s="255"/>
      <c r="O30" s="133"/>
      <c r="P30" s="253"/>
      <c r="Q30" s="253"/>
      <c r="R30" s="134"/>
      <c r="S30" s="82"/>
      <c r="T30" s="132"/>
      <c r="U30" s="133"/>
      <c r="V30" s="75"/>
      <c r="W30" s="75"/>
      <c r="X30" s="75"/>
    </row>
    <row r="31" spans="1:24" x14ac:dyDescent="0.25">
      <c r="A31" s="271"/>
      <c r="B31" s="263" t="s">
        <v>329</v>
      </c>
      <c r="C31" s="263"/>
      <c r="D31" s="263"/>
      <c r="E31" s="263"/>
      <c r="F31" s="263"/>
      <c r="G31" s="263"/>
      <c r="H31" s="84">
        <f>VLOOKUP(sel_reg&amp;"_"&amp;2017,AgreedLevel!$C$1:$T$227,MATCH("WPEmp2",AgreedLevel!$C$1:$T$1,0),0)</f>
        <v>64</v>
      </c>
      <c r="I31" s="129">
        <f>VLOOKUP(sel_reg&amp;"_"&amp;20171,Achievement!$C$1:$Q$202,MATCH("WPEmp2",Data!$C$1:$Q$1,0),0)</f>
        <v>65.81</v>
      </c>
      <c r="J31" s="130">
        <f t="shared" si="0"/>
        <v>1.02828125</v>
      </c>
      <c r="K31" s="76">
        <f>VLOOKUP(sel_reg&amp;"_"&amp;20172,Achievement!$C$1:$Q$202,MATCH("WPEmp2",Data!$C$1:$Q$1,0),0)</f>
        <v>67.8</v>
      </c>
      <c r="L31" s="130">
        <f t="shared" si="1"/>
        <v>1.059375</v>
      </c>
      <c r="M31" s="242">
        <f>VLOOKUP(sel_reg&amp;"_"&amp;20173,Achievement!$C$1:$Q$202,MATCH("WPEmp2",Data!$C$1:$Q$1,0),0)</f>
        <v>67.099999999999994</v>
      </c>
      <c r="N31" s="242"/>
      <c r="O31" s="130">
        <f t="shared" si="2"/>
        <v>1.0484374999999999</v>
      </c>
      <c r="P31" s="242">
        <f>VLOOKUP(sel_reg&amp;"_"&amp;20174,Achievement!$C$1:$Q$202,MATCH("WPEmp2",Data!$C$1:$Q$1,0),0)</f>
        <v>66.5</v>
      </c>
      <c r="Q31" s="242"/>
      <c r="R31" s="91">
        <f t="shared" si="3"/>
        <v>1.0390625</v>
      </c>
      <c r="S31" s="84">
        <f>VLOOKUP(sel_reg&amp;"_"&amp;2018,AgreedLevel!$C$1:$T$227,MATCH("WPEmp2",AgreedLevel!$C$1:$T$1,0),0)</f>
        <v>62</v>
      </c>
      <c r="T31" s="193">
        <f>VLOOKUP(sel_reg&amp;"_"&amp;20181,Data!$C$1:$Q$202,MATCH("WPEmp2",Data!$C$1:$Q$1,0),0)</f>
        <v>65.8</v>
      </c>
      <c r="U31" s="130">
        <f>SUM(T31/S31)</f>
        <v>1.0612903225806452</v>
      </c>
      <c r="V31" s="75"/>
      <c r="W31" s="75"/>
      <c r="X31" s="75"/>
    </row>
    <row r="32" spans="1:24" x14ac:dyDescent="0.25">
      <c r="A32" s="271"/>
      <c r="B32" s="263" t="s">
        <v>330</v>
      </c>
      <c r="C32" s="263"/>
      <c r="D32" s="263"/>
      <c r="E32" s="263"/>
      <c r="F32" s="263"/>
      <c r="G32" s="263"/>
      <c r="H32" s="83">
        <f>VLOOKUP(sel_reg&amp;"_"&amp;2017,AgreedLevel!$C$1:$T$227,MATCH("WPEarn",AgreedLevel!$C$1:$T$1,0),0)</f>
        <v>4850</v>
      </c>
      <c r="I32" s="131">
        <f>VLOOKUP(sel_reg&amp;"_"&amp;20171,Achievement!$C$1:$Q$202,MATCH("WPEarn",Data!$C$1:$Q$1,0),0)</f>
        <v>5120</v>
      </c>
      <c r="J32" s="130">
        <f t="shared" si="0"/>
        <v>1.0556701030927835</v>
      </c>
      <c r="K32" s="131">
        <f>VLOOKUP(sel_reg&amp;"_"&amp;20172,Achievement!$C$1:$Q$202,MATCH("WPEarn",Data!$C$1:$Q$1,0),0)</f>
        <v>5137</v>
      </c>
      <c r="L32" s="130">
        <f t="shared" si="1"/>
        <v>1.0591752577319589</v>
      </c>
      <c r="M32" s="241">
        <f>VLOOKUP(sel_reg&amp;"_"&amp;20173,Achievement!$C$1:$Q$202,MATCH("WPEarn",Data!$C$1:$Q$1,0),0)</f>
        <v>5146</v>
      </c>
      <c r="N32" s="241"/>
      <c r="O32" s="130">
        <f t="shared" si="2"/>
        <v>1.0610309278350516</v>
      </c>
      <c r="P32" s="241">
        <f>VLOOKUP(sel_reg&amp;"_"&amp;20174,Achievement!$C$1:$Q$202,MATCH("WPEarn",Data!$C$1:$Q$1,0),0)</f>
        <v>5270</v>
      </c>
      <c r="Q32" s="241"/>
      <c r="R32" s="91">
        <f t="shared" si="3"/>
        <v>1.0865979381443298</v>
      </c>
      <c r="S32" s="83">
        <f>VLOOKUP(sel_reg&amp;"_"&amp;2018,AgreedLevel!$C$1:$T$227,MATCH("WPEarn",AgreedLevel!$C$1:$T$1,0),0)</f>
        <v>4850</v>
      </c>
      <c r="T32" s="139">
        <f>VLOOKUP(sel_reg&amp;"_"&amp;20181,Data!$C$1:$Q$202,MATCH("WPEarn",Data!$C$1:$Q$1,0),0)</f>
        <v>5294</v>
      </c>
      <c r="U32" s="130">
        <f>SUM(T32/S32)</f>
        <v>1.0915463917525774</v>
      </c>
      <c r="V32" s="75"/>
      <c r="W32" s="75"/>
      <c r="X32" s="75"/>
    </row>
    <row r="33" spans="1:24" x14ac:dyDescent="0.25">
      <c r="A33" s="271"/>
      <c r="B33" s="263" t="s">
        <v>331</v>
      </c>
      <c r="C33" s="263"/>
      <c r="D33" s="263"/>
      <c r="E33" s="263"/>
      <c r="F33" s="263"/>
      <c r="G33" s="263"/>
      <c r="H33" s="84">
        <f>VLOOKUP(sel_reg&amp;"_"&amp;2017,AgreedLevel!$C$1:$T$227,MATCH("WPEmp4",AgreedLevel!$C$1:$T$1,0),0)</f>
        <v>66</v>
      </c>
      <c r="I33" s="129">
        <f>VLOOKUP(sel_reg&amp;"_"&amp;20171,Achievement!$C$1:$Q$202,MATCH("WPEmp4",Data!$C$1:$Q$1,0),0)</f>
        <v>0</v>
      </c>
      <c r="J33" s="130">
        <f t="shared" si="0"/>
        <v>0</v>
      </c>
      <c r="K33" s="76">
        <f>VLOOKUP(sel_reg&amp;"_"&amp;20172,Achievement!$C$1:$Q$202,MATCH("WPEmp4",Data!$C$1:$Q$1,0),0)</f>
        <v>0</v>
      </c>
      <c r="L33" s="130">
        <f t="shared" si="1"/>
        <v>0</v>
      </c>
      <c r="M33" s="242">
        <f>VLOOKUP(sel_reg&amp;"_"&amp;20173,Achievement!$C$1:$Q$202,MATCH("WPEmp4",Data!$C$1:$Q$1,0),0)</f>
        <v>65.599999999999994</v>
      </c>
      <c r="N33" s="242"/>
      <c r="O33" s="130">
        <f t="shared" si="2"/>
        <v>0.9939393939393939</v>
      </c>
      <c r="P33" s="242">
        <f>VLOOKUP(sel_reg&amp;"_"&amp;20174,Achievement!$C$1:$Q$202,MATCH("WPEmp4",Data!$C$1:$Q$1,0),0)</f>
        <v>67.2</v>
      </c>
      <c r="Q33" s="242"/>
      <c r="R33" s="91">
        <f t="shared" si="3"/>
        <v>1.0181818181818183</v>
      </c>
      <c r="S33" s="84">
        <f>VLOOKUP(sel_reg&amp;"_"&amp;2018,AgreedLevel!$C$1:$T$227,MATCH("WPEmp4",AgreedLevel!$C$1:$T$1,0),0)</f>
        <v>64</v>
      </c>
      <c r="T33" s="193">
        <f>VLOOKUP(sel_reg&amp;"_"&amp;20181,Data!$C$1:$Q$202,MATCH("WPEmp4",Data!$C$1:$Q$1,0),0)</f>
        <v>67</v>
      </c>
      <c r="U33" s="130">
        <f>SUM(T33/S33)</f>
        <v>1.046875</v>
      </c>
      <c r="V33" s="75"/>
      <c r="W33" s="75"/>
      <c r="X33" s="75"/>
    </row>
    <row r="34" spans="1:24" ht="7.5" customHeight="1" x14ac:dyDescent="0.2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</row>
    <row r="35" spans="1:24" x14ac:dyDescent="0.25">
      <c r="B35" s="120" t="s">
        <v>350</v>
      </c>
      <c r="C35" s="121"/>
      <c r="D35" s="121"/>
      <c r="E35" s="121"/>
      <c r="F35" s="121"/>
      <c r="G35" s="122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280"/>
      <c r="V35" s="75"/>
      <c r="W35" s="75"/>
    </row>
    <row r="36" spans="1:24" x14ac:dyDescent="0.25">
      <c r="B36" s="123" t="s">
        <v>351</v>
      </c>
      <c r="C36" s="124"/>
      <c r="D36" s="124"/>
      <c r="E36" s="124"/>
      <c r="F36" s="124"/>
      <c r="G36" s="12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1:24" x14ac:dyDescent="0.25">
      <c r="B37" s="126" t="s">
        <v>352</v>
      </c>
      <c r="C37" s="127"/>
      <c r="D37" s="127"/>
      <c r="E37" s="127"/>
      <c r="F37" s="127"/>
      <c r="G37" s="128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</row>
  </sheetData>
  <mergeCells count="74">
    <mergeCell ref="T6:U6"/>
    <mergeCell ref="T4:U4"/>
    <mergeCell ref="T2:U2"/>
    <mergeCell ref="A16:A33"/>
    <mergeCell ref="P8:Q8"/>
    <mergeCell ref="P11:Q11"/>
    <mergeCell ref="P12:Q12"/>
    <mergeCell ref="P9:Q9"/>
    <mergeCell ref="P10:Q10"/>
    <mergeCell ref="B27:G27"/>
    <mergeCell ref="B28:G28"/>
    <mergeCell ref="B29:G29"/>
    <mergeCell ref="B30:G30"/>
    <mergeCell ref="B17:G17"/>
    <mergeCell ref="B18:G18"/>
    <mergeCell ref="B19:G19"/>
    <mergeCell ref="B20:G20"/>
    <mergeCell ref="B31:G31"/>
    <mergeCell ref="B32:G32"/>
    <mergeCell ref="B33:G33"/>
    <mergeCell ref="B15:G15"/>
    <mergeCell ref="B21:G21"/>
    <mergeCell ref="B22:G22"/>
    <mergeCell ref="B23:G23"/>
    <mergeCell ref="B24:G24"/>
    <mergeCell ref="B25:G25"/>
    <mergeCell ref="M15:N15"/>
    <mergeCell ref="M16:N16"/>
    <mergeCell ref="M17:N17"/>
    <mergeCell ref="M18:N18"/>
    <mergeCell ref="M19:N19"/>
    <mergeCell ref="M28:N28"/>
    <mergeCell ref="M29:N29"/>
    <mergeCell ref="M20:N20"/>
    <mergeCell ref="M21:N21"/>
    <mergeCell ref="M22:N22"/>
    <mergeCell ref="M23:N23"/>
    <mergeCell ref="M24:N24"/>
    <mergeCell ref="P25:Q25"/>
    <mergeCell ref="P26:Q26"/>
    <mergeCell ref="M25:N25"/>
    <mergeCell ref="M26:N26"/>
    <mergeCell ref="M27:N27"/>
    <mergeCell ref="P20:Q20"/>
    <mergeCell ref="P21:Q21"/>
    <mergeCell ref="P22:Q22"/>
    <mergeCell ref="P23:Q23"/>
    <mergeCell ref="P24:Q24"/>
    <mergeCell ref="P15:Q15"/>
    <mergeCell ref="P16:Q16"/>
    <mergeCell ref="P17:Q17"/>
    <mergeCell ref="P18:Q18"/>
    <mergeCell ref="P19:Q19"/>
    <mergeCell ref="P32:Q32"/>
    <mergeCell ref="P33:Q33"/>
    <mergeCell ref="A4:B4"/>
    <mergeCell ref="C8:K8"/>
    <mergeCell ref="M8:O8"/>
    <mergeCell ref="M11:O11"/>
    <mergeCell ref="M12:O12"/>
    <mergeCell ref="P27:Q27"/>
    <mergeCell ref="P28:Q28"/>
    <mergeCell ref="P29:Q29"/>
    <mergeCell ref="P30:Q30"/>
    <mergeCell ref="P31:Q31"/>
    <mergeCell ref="M30:N30"/>
    <mergeCell ref="M31:N31"/>
    <mergeCell ref="M32:N32"/>
    <mergeCell ref="M33:N33"/>
    <mergeCell ref="C2:S2"/>
    <mergeCell ref="C4:S4"/>
    <mergeCell ref="C6:S6"/>
    <mergeCell ref="M9:O9"/>
    <mergeCell ref="M10:O10"/>
  </mergeCells>
  <conditionalFormatting sqref="P9">
    <cfRule type="expression" dxfId="144" priority="290">
      <formula>IF(check_form="Earn",TRUE,FALSE)</formula>
    </cfRule>
  </conditionalFormatting>
  <conditionalFormatting sqref="P9 R9:S10">
    <cfRule type="expression" dxfId="143" priority="289">
      <formula>IF(ISNA(P9),TRUE,FALSE)</formula>
    </cfRule>
  </conditionalFormatting>
  <conditionalFormatting sqref="P11">
    <cfRule type="expression" dxfId="142" priority="282">
      <formula>IF(check_form="Earn",TRUE,FALSE)</formula>
    </cfRule>
  </conditionalFormatting>
  <conditionalFormatting sqref="P11">
    <cfRule type="expression" dxfId="141" priority="281">
      <formula>IF(ISNA(P11),TRUE,FALSE)</formula>
    </cfRule>
  </conditionalFormatting>
  <conditionalFormatting sqref="P12">
    <cfRule type="expression" dxfId="140" priority="280">
      <formula>IF(check_form="Earn",TRUE,FALSE)</formula>
    </cfRule>
  </conditionalFormatting>
  <conditionalFormatting sqref="P12">
    <cfRule type="expression" dxfId="139" priority="279">
      <formula>IF(ISNA(P12),TRUE,FALSE)</formula>
    </cfRule>
  </conditionalFormatting>
  <conditionalFormatting sqref="P10">
    <cfRule type="expression" dxfId="138" priority="175">
      <formula>IF(check_form="Earn",TRUE,FALSE)</formula>
    </cfRule>
  </conditionalFormatting>
  <conditionalFormatting sqref="P10">
    <cfRule type="expression" dxfId="137" priority="174">
      <formula>IF(ISNA(P10),TRUE,FALSE)</formula>
    </cfRule>
  </conditionalFormatting>
  <conditionalFormatting sqref="T17">
    <cfRule type="cellIs" dxfId="136" priority="171" operator="lessThan">
      <formula>$S$17*0.9</formula>
    </cfRule>
    <cfRule type="cellIs" dxfId="135" priority="172" operator="greaterThan">
      <formula>$S$17</formula>
    </cfRule>
    <cfRule type="cellIs" dxfId="134" priority="173" operator="between">
      <formula>$S$17</formula>
      <formula>$S$17*0.9</formula>
    </cfRule>
  </conditionalFormatting>
  <conditionalFormatting sqref="T18">
    <cfRule type="cellIs" dxfId="133" priority="168" operator="lessThan">
      <formula>$S$18*0.9</formula>
    </cfRule>
    <cfRule type="cellIs" dxfId="132" priority="169" operator="greaterThan">
      <formula>$S$18</formula>
    </cfRule>
    <cfRule type="cellIs" dxfId="131" priority="170" operator="between">
      <formula>$S$18</formula>
      <formula>$S$18*0.9</formula>
    </cfRule>
  </conditionalFormatting>
  <conditionalFormatting sqref="T19">
    <cfRule type="cellIs" dxfId="130" priority="165" operator="lessThan">
      <formula>$S$19*0.9</formula>
    </cfRule>
    <cfRule type="cellIs" dxfId="129" priority="166" operator="greaterThan">
      <formula>$S$19</formula>
    </cfRule>
    <cfRule type="cellIs" dxfId="128" priority="167" operator="between">
      <formula>$S$19</formula>
      <formula>$S$19*0.9</formula>
    </cfRule>
  </conditionalFormatting>
  <conditionalFormatting sqref="T20">
    <cfRule type="cellIs" dxfId="127" priority="162" operator="lessThan">
      <formula>$S$20*0.9</formula>
    </cfRule>
    <cfRule type="cellIs" dxfId="126" priority="163" operator="greaterThan">
      <formula>$S$20</formula>
    </cfRule>
    <cfRule type="cellIs" dxfId="125" priority="164" operator="between">
      <formula>$S$20</formula>
      <formula>$S$20*0.9</formula>
    </cfRule>
  </conditionalFormatting>
  <conditionalFormatting sqref="T23">
    <cfRule type="cellIs" dxfId="124" priority="156" operator="lessThan">
      <formula>$S$23*0.9</formula>
    </cfRule>
    <cfRule type="cellIs" dxfId="123" priority="157" operator="greaterThan">
      <formula>$S$23</formula>
    </cfRule>
    <cfRule type="cellIs" dxfId="122" priority="158" operator="between">
      <formula>$S$23</formula>
      <formula>$S$23*0.9</formula>
    </cfRule>
    <cfRule type="cellIs" dxfId="121" priority="4" operator="equal">
      <formula>0</formula>
    </cfRule>
  </conditionalFormatting>
  <conditionalFormatting sqref="T27">
    <cfRule type="cellIs" dxfId="120" priority="147" operator="lessThan">
      <formula>$S$27*0.9</formula>
    </cfRule>
    <cfRule type="cellIs" dxfId="119" priority="148" operator="greaterThan">
      <formula>$S$27</formula>
    </cfRule>
    <cfRule type="cellIs" dxfId="118" priority="149" operator="between">
      <formula>$S$27</formula>
      <formula>$S$27*0.9</formula>
    </cfRule>
  </conditionalFormatting>
  <conditionalFormatting sqref="T28">
    <cfRule type="cellIs" dxfId="117" priority="144" operator="lessThan">
      <formula>$S$28*0.9</formula>
    </cfRule>
    <cfRule type="cellIs" dxfId="116" priority="145" operator="greaterThan">
      <formula>$S$28</formula>
    </cfRule>
    <cfRule type="cellIs" dxfId="115" priority="146" operator="between">
      <formula>$S$28</formula>
      <formula>$S$28*0.9</formula>
    </cfRule>
  </conditionalFormatting>
  <conditionalFormatting sqref="T29">
    <cfRule type="cellIs" dxfId="114" priority="141" operator="lessThan">
      <formula>$S$29*0.9</formula>
    </cfRule>
    <cfRule type="cellIs" dxfId="113" priority="142" operator="greaterThan">
      <formula>$S$29</formula>
    </cfRule>
    <cfRule type="cellIs" dxfId="112" priority="143" operator="between">
      <formula>$S$29</formula>
      <formula>$S$29*0.9</formula>
    </cfRule>
  </conditionalFormatting>
  <conditionalFormatting sqref="T31">
    <cfRule type="cellIs" dxfId="111" priority="138" operator="lessThan">
      <formula>$S$31*0.9</formula>
    </cfRule>
    <cfRule type="cellIs" dxfId="110" priority="139" operator="greaterThan">
      <formula>$S$31</formula>
    </cfRule>
    <cfRule type="cellIs" dxfId="109" priority="140" operator="between">
      <formula>$S$31</formula>
      <formula>$S$31*0.9</formula>
    </cfRule>
  </conditionalFormatting>
  <conditionalFormatting sqref="I17 K17 M17 P17">
    <cfRule type="cellIs" dxfId="108" priority="132" operator="lessThan">
      <formula>$H$17*0.9</formula>
    </cfRule>
    <cfRule type="cellIs" dxfId="107" priority="133" operator="greaterThan">
      <formula>$H$17</formula>
    </cfRule>
    <cfRule type="cellIs" dxfId="106" priority="134" operator="between">
      <formula>$H$17</formula>
      <formula>$H$17*0.9</formula>
    </cfRule>
  </conditionalFormatting>
  <conditionalFormatting sqref="I18 K18 M18 P18">
    <cfRule type="cellIs" dxfId="105" priority="129" operator="lessThan">
      <formula>$H$18*0.9</formula>
    </cfRule>
    <cfRule type="cellIs" dxfId="104" priority="130" operator="greaterThan">
      <formula>$H$18</formula>
    </cfRule>
    <cfRule type="cellIs" dxfId="103" priority="131" operator="between">
      <formula>$H$18</formula>
      <formula>$H$18*0.9</formula>
    </cfRule>
  </conditionalFormatting>
  <conditionalFormatting sqref="I19 K19 M19 P19">
    <cfRule type="cellIs" dxfId="102" priority="126" operator="between">
      <formula>$H$19*0.8999</formula>
      <formula>1</formula>
    </cfRule>
    <cfRule type="cellIs" dxfId="101" priority="127" operator="greaterThan">
      <formula>$H$19</formula>
    </cfRule>
    <cfRule type="cellIs" dxfId="100" priority="128" operator="between">
      <formula>$H$19</formula>
      <formula>$H$19*0.9</formula>
    </cfRule>
  </conditionalFormatting>
  <conditionalFormatting sqref="M20">
    <cfRule type="cellIs" dxfId="99" priority="123" operator="between">
      <formula>$H$20*0.9</formula>
      <formula>1</formula>
    </cfRule>
    <cfRule type="cellIs" dxfId="98" priority="124" operator="greaterThan">
      <formula>$H$20</formula>
    </cfRule>
    <cfRule type="cellIs" dxfId="97" priority="125" operator="between">
      <formula>$H$20</formula>
      <formula>$H$20*0.9</formula>
    </cfRule>
  </conditionalFormatting>
  <conditionalFormatting sqref="P23">
    <cfRule type="cellIs" dxfId="96" priority="117" operator="lessThan">
      <formula>$H$23*0.9</formula>
    </cfRule>
    <cfRule type="cellIs" dxfId="95" priority="118" operator="greaterThan">
      <formula>$H$23</formula>
    </cfRule>
    <cfRule type="cellIs" dxfId="94" priority="119" operator="between">
      <formula>$H$23</formula>
      <formula>$H$23*0.9</formula>
    </cfRule>
  </conditionalFormatting>
  <conditionalFormatting sqref="I24 K24 M24 P24">
    <cfRule type="cellIs" dxfId="93" priority="114" operator="between">
      <formula>$H$24*0.8999</formula>
      <formula>0.01</formula>
    </cfRule>
    <cfRule type="cellIs" dxfId="92" priority="115" operator="greaterThan">
      <formula>$H$24</formula>
    </cfRule>
    <cfRule type="cellIs" dxfId="91" priority="116" operator="between">
      <formula>$H$24</formula>
      <formula>$H$24*0.9</formula>
    </cfRule>
  </conditionalFormatting>
  <conditionalFormatting sqref="I25">
    <cfRule type="cellIs" dxfId="90" priority="111" operator="between">
      <formula>$H$25*0.89999</formula>
      <formula>0.01</formula>
    </cfRule>
    <cfRule type="cellIs" dxfId="89" priority="112" operator="greaterThan">
      <formula>$H$25</formula>
    </cfRule>
    <cfRule type="cellIs" dxfId="88" priority="113" operator="between">
      <formula>$H$25</formula>
      <formula>$H$25*0.9</formula>
    </cfRule>
  </conditionalFormatting>
  <conditionalFormatting sqref="I27 K27 M27 P27">
    <cfRule type="cellIs" dxfId="87" priority="108" operator="lessThan">
      <formula>$H$27*0.9</formula>
    </cfRule>
    <cfRule type="cellIs" dxfId="86" priority="109" operator="greaterThan">
      <formula>$H$27</formula>
    </cfRule>
    <cfRule type="cellIs" dxfId="85" priority="110" operator="between">
      <formula>$H$27</formula>
      <formula>$H$27*0.9</formula>
    </cfRule>
  </conditionalFormatting>
  <conditionalFormatting sqref="M28 P28">
    <cfRule type="cellIs" dxfId="84" priority="105" operator="between">
      <formula>$H$28*0.89999</formula>
      <formula>1</formula>
    </cfRule>
    <cfRule type="cellIs" dxfId="83" priority="106" operator="greaterThan">
      <formula>$H$28</formula>
    </cfRule>
    <cfRule type="cellIs" dxfId="82" priority="107" operator="between">
      <formula>$H$28</formula>
      <formula>$H$28*0.9</formula>
    </cfRule>
  </conditionalFormatting>
  <conditionalFormatting sqref="I31 K31 M31 P31">
    <cfRule type="cellIs" dxfId="81" priority="99" operator="lessThan">
      <formula>$H$31*0.9</formula>
    </cfRule>
    <cfRule type="cellIs" dxfId="80" priority="100" operator="greaterThan">
      <formula>$H$31</formula>
    </cfRule>
    <cfRule type="cellIs" dxfId="79" priority="101" operator="between">
      <formula>$H$31</formula>
      <formula>$H$31*0.9</formula>
    </cfRule>
  </conditionalFormatting>
  <conditionalFormatting sqref="I32 K32 M32 P32">
    <cfRule type="cellIs" dxfId="78" priority="96" operator="lessThan">
      <formula>$H$32*0.9</formula>
    </cfRule>
    <cfRule type="cellIs" dxfId="77" priority="97" operator="greaterThan">
      <formula>$H$32</formula>
    </cfRule>
    <cfRule type="cellIs" dxfId="76" priority="98" operator="between">
      <formula>$H$32</formula>
      <formula>$H$32*0.9</formula>
    </cfRule>
  </conditionalFormatting>
  <conditionalFormatting sqref="I33 K33 M33 P33">
    <cfRule type="cellIs" dxfId="75" priority="93" operator="between">
      <formula>$H$33*0.9</formula>
      <formula>1</formula>
    </cfRule>
    <cfRule type="cellIs" dxfId="74" priority="94" operator="greaterThan">
      <formula>$H$33</formula>
    </cfRule>
    <cfRule type="cellIs" dxfId="73" priority="95" operator="between">
      <formula>$H$33</formula>
      <formula>$H$33*0.9</formula>
    </cfRule>
  </conditionalFormatting>
  <conditionalFormatting sqref="T32">
    <cfRule type="cellIs" dxfId="72" priority="135" operator="lessThan">
      <formula>$S$32*0.9</formula>
    </cfRule>
    <cfRule type="cellIs" dxfId="71" priority="136" operator="greaterThan">
      <formula>$S$32</formula>
    </cfRule>
    <cfRule type="cellIs" dxfId="70" priority="137" operator="between">
      <formula>$S$32</formula>
      <formula>$S$32*0.9</formula>
    </cfRule>
  </conditionalFormatting>
  <conditionalFormatting sqref="T33">
    <cfRule type="cellIs" dxfId="69" priority="90" operator="lessThan">
      <formula>$S$33*0.9</formula>
    </cfRule>
    <cfRule type="cellIs" dxfId="68" priority="91" operator="greaterThan">
      <formula>$S$33</formula>
    </cfRule>
    <cfRule type="cellIs" dxfId="67" priority="92" operator="between">
      <formula>$S$33</formula>
      <formula>$S$33*0.9</formula>
    </cfRule>
  </conditionalFormatting>
  <conditionalFormatting sqref="I25">
    <cfRule type="cellIs" dxfId="66" priority="88" operator="equal">
      <formula>0</formula>
    </cfRule>
  </conditionalFormatting>
  <conditionalFormatting sqref="I20">
    <cfRule type="cellIs" dxfId="65" priority="85" operator="between">
      <formula>$H$25*0.89999</formula>
      <formula>0.01</formula>
    </cfRule>
    <cfRule type="cellIs" dxfId="64" priority="86" operator="greaterThan">
      <formula>$H$25</formula>
    </cfRule>
    <cfRule type="cellIs" dxfId="63" priority="87" operator="between">
      <formula>$H$25</formula>
      <formula>$H$25*0.9</formula>
    </cfRule>
  </conditionalFormatting>
  <conditionalFormatting sqref="I20">
    <cfRule type="cellIs" dxfId="62" priority="84" operator="equal">
      <formula>0</formula>
    </cfRule>
  </conditionalFormatting>
  <conditionalFormatting sqref="K20">
    <cfRule type="cellIs" dxfId="61" priority="81" operator="between">
      <formula>$H$25*0.89999</formula>
      <formula>0.01</formula>
    </cfRule>
    <cfRule type="cellIs" dxfId="60" priority="82" operator="greaterThan">
      <formula>$H$25</formula>
    </cfRule>
    <cfRule type="cellIs" dxfId="59" priority="83" operator="between">
      <formula>$H$25</formula>
      <formula>$H$25*0.9</formula>
    </cfRule>
  </conditionalFormatting>
  <conditionalFormatting sqref="K20">
    <cfRule type="cellIs" dxfId="58" priority="80" operator="equal">
      <formula>0</formula>
    </cfRule>
  </conditionalFormatting>
  <conditionalFormatting sqref="I23">
    <cfRule type="cellIs" dxfId="57" priority="48" operator="equal">
      <formula>0</formula>
    </cfRule>
  </conditionalFormatting>
  <conditionalFormatting sqref="M20:N20">
    <cfRule type="cellIs" dxfId="56" priority="79" operator="equal">
      <formula>0</formula>
    </cfRule>
  </conditionalFormatting>
  <conditionalFormatting sqref="K25">
    <cfRule type="cellIs" dxfId="55" priority="76" operator="between">
      <formula>$H$24*0.8999</formula>
      <formula>0.01</formula>
    </cfRule>
    <cfRule type="cellIs" dxfId="54" priority="77" operator="greaterThan">
      <formula>$H$24</formula>
    </cfRule>
    <cfRule type="cellIs" dxfId="53" priority="78" operator="between">
      <formula>$H$24</formula>
      <formula>$H$24*0.9</formula>
    </cfRule>
  </conditionalFormatting>
  <conditionalFormatting sqref="M25">
    <cfRule type="cellIs" dxfId="52" priority="73" operator="between">
      <formula>$H$20*0.9</formula>
      <formula>1</formula>
    </cfRule>
    <cfRule type="cellIs" dxfId="51" priority="74" operator="greaterThan">
      <formula>$H$20</formula>
    </cfRule>
    <cfRule type="cellIs" dxfId="50" priority="75" operator="between">
      <formula>$H$20</formula>
      <formula>$H$20*0.9</formula>
    </cfRule>
  </conditionalFormatting>
  <conditionalFormatting sqref="M25:N25">
    <cfRule type="cellIs" dxfId="49" priority="72" operator="equal">
      <formula>0</formula>
    </cfRule>
  </conditionalFormatting>
  <conditionalFormatting sqref="M29">
    <cfRule type="cellIs" dxfId="48" priority="69" operator="between">
      <formula>$H$20*0.9</formula>
      <formula>1</formula>
    </cfRule>
    <cfRule type="cellIs" dxfId="47" priority="70" operator="greaterThan">
      <formula>$H$20</formula>
    </cfRule>
    <cfRule type="cellIs" dxfId="46" priority="71" operator="between">
      <formula>$H$20</formula>
      <formula>$H$20*0.9</formula>
    </cfRule>
  </conditionalFormatting>
  <conditionalFormatting sqref="M29:N29">
    <cfRule type="cellIs" dxfId="45" priority="68" operator="equal">
      <formula>0</formula>
    </cfRule>
  </conditionalFormatting>
  <conditionalFormatting sqref="K28">
    <cfRule type="cellIs" dxfId="44" priority="65" operator="between">
      <formula>$H$24*0.8999</formula>
      <formula>0.01</formula>
    </cfRule>
    <cfRule type="cellIs" dxfId="43" priority="66" operator="greaterThan">
      <formula>$H$24</formula>
    </cfRule>
    <cfRule type="cellIs" dxfId="42" priority="67" operator="between">
      <formula>$H$24</formula>
      <formula>$H$24*0.9</formula>
    </cfRule>
  </conditionalFormatting>
  <conditionalFormatting sqref="K29">
    <cfRule type="cellIs" dxfId="41" priority="62" operator="between">
      <formula>$H$24*0.8999</formula>
      <formula>0.01</formula>
    </cfRule>
    <cfRule type="cellIs" dxfId="40" priority="63" operator="greaterThan">
      <formula>$H$24</formula>
    </cfRule>
    <cfRule type="cellIs" dxfId="39" priority="64" operator="between">
      <formula>$H$24</formula>
      <formula>$H$24*0.9</formula>
    </cfRule>
  </conditionalFormatting>
  <conditionalFormatting sqref="I28">
    <cfRule type="cellIs" dxfId="38" priority="59" operator="between">
      <formula>$H$24*0.8999</formula>
      <formula>0.01</formula>
    </cfRule>
    <cfRule type="cellIs" dxfId="37" priority="60" operator="greaterThan">
      <formula>$H$24</formula>
    </cfRule>
    <cfRule type="cellIs" dxfId="36" priority="61" operator="between">
      <formula>$H$24</formula>
      <formula>$H$24*0.9</formula>
    </cfRule>
  </conditionalFormatting>
  <conditionalFormatting sqref="I29">
    <cfRule type="cellIs" dxfId="35" priority="56" operator="between">
      <formula>$H$25*0.89999</formula>
      <formula>0.01</formula>
    </cfRule>
    <cfRule type="cellIs" dxfId="34" priority="57" operator="greaterThan">
      <formula>$H$25</formula>
    </cfRule>
    <cfRule type="cellIs" dxfId="33" priority="58" operator="between">
      <formula>$H$25</formula>
      <formula>$H$25*0.9</formula>
    </cfRule>
  </conditionalFormatting>
  <conditionalFormatting sqref="I29">
    <cfRule type="cellIs" dxfId="32" priority="55" operator="equal">
      <formula>0</formula>
    </cfRule>
  </conditionalFormatting>
  <conditionalFormatting sqref="I22">
    <cfRule type="cellIs" dxfId="31" priority="52" operator="between">
      <formula>$H$24*0.8999</formula>
      <formula>0.01</formula>
    </cfRule>
    <cfRule type="cellIs" dxfId="30" priority="53" operator="greaterThan">
      <formula>$H$24</formula>
    </cfRule>
    <cfRule type="cellIs" dxfId="29" priority="54" operator="between">
      <formula>$H$24</formula>
      <formula>$H$24*0.9</formula>
    </cfRule>
  </conditionalFormatting>
  <conditionalFormatting sqref="I23">
    <cfRule type="cellIs" dxfId="28" priority="49" operator="between">
      <formula>$H$25*0.89999</formula>
      <formula>0.01</formula>
    </cfRule>
    <cfRule type="cellIs" dxfId="27" priority="50" operator="greaterThan">
      <formula>$H$25</formula>
    </cfRule>
    <cfRule type="cellIs" dxfId="26" priority="51" operator="between">
      <formula>$H$25</formula>
      <formula>$H$25*0.9</formula>
    </cfRule>
  </conditionalFormatting>
  <conditionalFormatting sqref="K23">
    <cfRule type="cellIs" dxfId="25" priority="44" operator="equal">
      <formula>0</formula>
    </cfRule>
  </conditionalFormatting>
  <conditionalFormatting sqref="K23">
    <cfRule type="cellIs" dxfId="24" priority="45" operator="between">
      <formula>$H$25*0.89999</formula>
      <formula>0.01</formula>
    </cfRule>
    <cfRule type="cellIs" dxfId="23" priority="46" operator="greaterThan">
      <formula>$H$25</formula>
    </cfRule>
    <cfRule type="cellIs" dxfId="22" priority="47" operator="between">
      <formula>$H$25</formula>
      <formula>$H$25*0.9</formula>
    </cfRule>
  </conditionalFormatting>
  <conditionalFormatting sqref="K22">
    <cfRule type="cellIs" dxfId="21" priority="41" operator="between">
      <formula>$H$24*0.8999</formula>
      <formula>0.01</formula>
    </cfRule>
    <cfRule type="cellIs" dxfId="20" priority="42" operator="greaterThan">
      <formula>$H$24</formula>
    </cfRule>
    <cfRule type="cellIs" dxfId="19" priority="43" operator="between">
      <formula>$H$24</formula>
      <formula>$H$24*0.9</formula>
    </cfRule>
  </conditionalFormatting>
  <conditionalFormatting sqref="M22">
    <cfRule type="cellIs" dxfId="18" priority="38" operator="between">
      <formula>$H$28*0.89999</formula>
      <formula>1</formula>
    </cfRule>
    <cfRule type="cellIs" dxfId="17" priority="39" operator="greaterThan">
      <formula>$H$28</formula>
    </cfRule>
    <cfRule type="cellIs" dxfId="16" priority="40" operator="between">
      <formula>$H$28</formula>
      <formula>$H$28*0.9</formula>
    </cfRule>
  </conditionalFormatting>
  <conditionalFormatting sqref="M23">
    <cfRule type="cellIs" dxfId="15" priority="19" operator="between">
      <formula>$H$24*0.8999</formula>
      <formula>0.01</formula>
    </cfRule>
    <cfRule type="cellIs" dxfId="14" priority="20" operator="greaterThan">
      <formula>$H$24</formula>
    </cfRule>
    <cfRule type="cellIs" dxfId="13" priority="21" operator="between">
      <formula>$H$24</formula>
      <formula>$H$24*0.9</formula>
    </cfRule>
  </conditionalFormatting>
  <conditionalFormatting sqref="P22">
    <cfRule type="cellIs" dxfId="12" priority="12" operator="between">
      <formula>$H$24*0.8999</formula>
      <formula>0.01</formula>
    </cfRule>
    <cfRule type="cellIs" dxfId="11" priority="13" operator="greaterThan">
      <formula>$H$24</formula>
    </cfRule>
    <cfRule type="cellIs" dxfId="10" priority="14" operator="between">
      <formula>$H$24</formula>
      <formula>$H$24*0.9</formula>
    </cfRule>
  </conditionalFormatting>
  <conditionalFormatting sqref="T24">
    <cfRule type="cellIs" dxfId="9" priority="9" operator="between">
      <formula>$H$24*0.8999</formula>
      <formula>0.01</formula>
    </cfRule>
    <cfRule type="cellIs" dxfId="8" priority="10" operator="greaterThan">
      <formula>$H$24</formula>
    </cfRule>
    <cfRule type="cellIs" dxfId="7" priority="11" operator="between">
      <formula>$H$24</formula>
      <formula>$H$24*0.9</formula>
    </cfRule>
  </conditionalFormatting>
  <conditionalFormatting sqref="T22">
    <cfRule type="cellIs" dxfId="6" priority="6" operator="between">
      <formula>$H$24*0.8999</formula>
      <formula>0.01</formula>
    </cfRule>
    <cfRule type="cellIs" dxfId="5" priority="7" operator="greaterThan">
      <formula>$H$24</formula>
    </cfRule>
    <cfRule type="cellIs" dxfId="4" priority="8" operator="between">
      <formula>$H$24</formula>
      <formula>$H$24*0.9</formula>
    </cfRule>
  </conditionalFormatting>
  <conditionalFormatting sqref="P23:Q23">
    <cfRule type="cellIs" dxfId="3" priority="5" operator="equal">
      <formula>0</formula>
    </cfRule>
  </conditionalFormatting>
  <conditionalFormatting sqref="T25">
    <cfRule type="cellIs" dxfId="2" priority="1" operator="between">
      <formula>$S$25*0.8999</formula>
      <formula>0.01</formula>
    </cfRule>
    <cfRule type="cellIs" dxfId="1" priority="2" operator="greaterThan">
      <formula>$H$24</formula>
    </cfRule>
    <cfRule type="cellIs" dxfId="0" priority="3" operator="between">
      <formula>$S$25</formula>
      <formula>$S$25*0.9</formula>
    </cfRule>
  </conditionalFormatting>
  <pageMargins left="0.7" right="0.7" top="0.75" bottom="0.75" header="0.3" footer="0.3"/>
  <pageSetup paperSize="5" scale="9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naming!$F$1:$F$5</xm:f>
          </x14:formula1>
          <xm:sqref>C4</xm:sqref>
        </x14:dataValidation>
        <x14:dataValidation type="list" allowBlank="1" showInputMessage="1" showErrorMessage="1">
          <x14:formula1>
            <xm:f>naming!$J$1:$J$5</xm:f>
          </x14:formula1>
          <xm:sqref>C6</xm:sqref>
        </x14:dataValidation>
        <x14:dataValidation type="list" allowBlank="1" showInputMessage="1" showErrorMessage="1">
          <x14:formula1>
            <xm:f>naming!$B$1:$B$26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workbookViewId="0">
      <pane ySplit="2" topLeftCell="A3" activePane="bottomLeft" state="frozen"/>
      <selection pane="bottomLeft" activeCell="V7" sqref="V7"/>
    </sheetView>
  </sheetViews>
  <sheetFormatPr defaultRowHeight="15" x14ac:dyDescent="0.25"/>
  <cols>
    <col min="1" max="2" width="9.140625" style="14"/>
    <col min="3" max="3" width="10.5703125" style="14" bestFit="1" customWidth="1"/>
    <col min="4" max="4" width="13.7109375" style="14" customWidth="1"/>
    <col min="5" max="5" width="12.140625" style="14" customWidth="1"/>
    <col min="6" max="6" width="11.42578125" style="14" customWidth="1"/>
    <col min="7" max="7" width="11.28515625" style="14" customWidth="1"/>
    <col min="8" max="8" width="3.140625" style="14" customWidth="1"/>
    <col min="9" max="9" width="12.85546875" style="14" customWidth="1"/>
    <col min="10" max="10" width="12.7109375" style="14" customWidth="1"/>
    <col min="11" max="11" width="10.7109375" style="14" customWidth="1"/>
    <col min="12" max="12" width="11.5703125" style="14" customWidth="1"/>
    <col min="13" max="13" width="2.85546875" style="14" customWidth="1"/>
    <col min="14" max="14" width="12.7109375" style="14" customWidth="1"/>
    <col min="15" max="15" width="12.85546875" style="14" customWidth="1"/>
    <col min="16" max="16" width="10.85546875" style="14" customWidth="1"/>
    <col min="17" max="17" width="3.42578125" style="14" customWidth="1"/>
    <col min="18" max="18" width="12.140625" style="14" customWidth="1"/>
    <col min="19" max="19" width="13.140625" style="14" customWidth="1"/>
    <col min="20" max="20" width="13.42578125" style="14" customWidth="1"/>
    <col min="21" max="16384" width="9.140625" style="14"/>
  </cols>
  <sheetData>
    <row r="1" spans="1:20" ht="15.75" thickBot="1" x14ac:dyDescent="0.3">
      <c r="A1" s="73"/>
      <c r="B1" s="73"/>
      <c r="C1" s="73"/>
      <c r="D1" s="36" t="s">
        <v>0</v>
      </c>
      <c r="E1" s="37" t="s">
        <v>1</v>
      </c>
      <c r="F1" s="37" t="s">
        <v>2</v>
      </c>
      <c r="G1" s="37" t="s">
        <v>3</v>
      </c>
      <c r="H1" s="67"/>
      <c r="I1" s="34" t="s">
        <v>4</v>
      </c>
      <c r="J1" s="34" t="s">
        <v>5</v>
      </c>
      <c r="K1" s="34" t="s">
        <v>6</v>
      </c>
      <c r="L1" s="35" t="s">
        <v>7</v>
      </c>
      <c r="M1" s="67"/>
      <c r="N1" s="36" t="s">
        <v>8</v>
      </c>
      <c r="O1" s="37" t="s">
        <v>9</v>
      </c>
      <c r="P1" s="38" t="s">
        <v>10</v>
      </c>
      <c r="Q1" s="67"/>
      <c r="R1" s="33" t="s">
        <v>11</v>
      </c>
      <c r="S1" s="34" t="s">
        <v>12</v>
      </c>
      <c r="T1" s="35" t="s">
        <v>13</v>
      </c>
    </row>
    <row r="2" spans="1:20" ht="60.75" thickBot="1" x14ac:dyDescent="0.3">
      <c r="A2" s="39" t="s">
        <v>14</v>
      </c>
      <c r="B2" s="40" t="s">
        <v>323</v>
      </c>
      <c r="C2" s="40" t="s">
        <v>115</v>
      </c>
      <c r="D2" s="24" t="s">
        <v>16</v>
      </c>
      <c r="E2" s="25" t="s">
        <v>17</v>
      </c>
      <c r="F2" s="25" t="s">
        <v>18</v>
      </c>
      <c r="G2" s="26" t="s">
        <v>19</v>
      </c>
      <c r="H2" s="68"/>
      <c r="I2" s="66" t="s">
        <v>16</v>
      </c>
      <c r="J2" s="27" t="s">
        <v>17</v>
      </c>
      <c r="K2" s="27" t="s">
        <v>18</v>
      </c>
      <c r="L2" s="58" t="s">
        <v>19</v>
      </c>
      <c r="M2" s="68"/>
      <c r="N2" s="57" t="s">
        <v>16</v>
      </c>
      <c r="O2" s="28" t="s">
        <v>17</v>
      </c>
      <c r="P2" s="29" t="s">
        <v>19</v>
      </c>
      <c r="Q2" s="68"/>
      <c r="R2" s="30" t="s">
        <v>16</v>
      </c>
      <c r="S2" s="31" t="s">
        <v>17</v>
      </c>
      <c r="T2" s="32" t="s">
        <v>18</v>
      </c>
    </row>
    <row r="3" spans="1:20" ht="15.75" thickBot="1" x14ac:dyDescent="0.3">
      <c r="A3" s="56">
        <v>2017</v>
      </c>
      <c r="B3" s="86">
        <v>1</v>
      </c>
      <c r="C3" s="161" t="s">
        <v>186</v>
      </c>
      <c r="D3" s="162">
        <v>88</v>
      </c>
      <c r="E3" s="163">
        <v>83</v>
      </c>
      <c r="F3" s="164">
        <v>7850</v>
      </c>
      <c r="G3" s="165"/>
      <c r="H3" s="166"/>
      <c r="I3" s="163">
        <v>83</v>
      </c>
      <c r="J3" s="163">
        <v>79</v>
      </c>
      <c r="K3" s="164">
        <v>6850</v>
      </c>
      <c r="L3" s="167"/>
      <c r="M3" s="166"/>
      <c r="N3" s="163">
        <v>74</v>
      </c>
      <c r="O3" s="163">
        <v>69</v>
      </c>
      <c r="P3" s="168"/>
      <c r="Q3" s="166"/>
      <c r="R3" s="163">
        <v>63</v>
      </c>
      <c r="S3" s="163">
        <v>64</v>
      </c>
      <c r="T3" s="164">
        <v>4850</v>
      </c>
    </row>
    <row r="4" spans="1:20" x14ac:dyDescent="0.25">
      <c r="A4" s="20">
        <v>2018</v>
      </c>
      <c r="B4" s="21">
        <v>1</v>
      </c>
      <c r="C4" s="169" t="s">
        <v>294</v>
      </c>
      <c r="D4" s="46">
        <v>86</v>
      </c>
      <c r="E4" s="53">
        <v>82.5</v>
      </c>
      <c r="F4" s="53">
        <v>6850</v>
      </c>
      <c r="G4" s="48">
        <v>90</v>
      </c>
      <c r="H4" s="160"/>
      <c r="I4" s="47">
        <v>85</v>
      </c>
      <c r="J4" s="53">
        <v>79</v>
      </c>
      <c r="K4" s="53">
        <v>6600</v>
      </c>
      <c r="L4" s="62">
        <v>90</v>
      </c>
      <c r="M4" s="160"/>
      <c r="N4" s="47">
        <v>75</v>
      </c>
      <c r="O4" s="53">
        <v>70</v>
      </c>
      <c r="P4" s="48">
        <v>75.2</v>
      </c>
      <c r="Q4" s="160"/>
      <c r="R4" s="46">
        <v>62</v>
      </c>
      <c r="S4" s="53">
        <v>64</v>
      </c>
      <c r="T4" s="62">
        <v>4300</v>
      </c>
    </row>
    <row r="5" spans="1:20" ht="15.75" thickBot="1" x14ac:dyDescent="0.3">
      <c r="A5" s="55">
        <v>2019</v>
      </c>
      <c r="B5" s="54">
        <v>1</v>
      </c>
      <c r="C5" s="170" t="s">
        <v>295</v>
      </c>
      <c r="D5" s="49">
        <v>86.2</v>
      </c>
      <c r="E5" s="50">
        <v>83</v>
      </c>
      <c r="F5" s="50">
        <v>6850</v>
      </c>
      <c r="G5" s="52">
        <v>93</v>
      </c>
      <c r="H5" s="160"/>
      <c r="I5" s="51">
        <v>85.2</v>
      </c>
      <c r="J5" s="50">
        <v>79.2</v>
      </c>
      <c r="K5" s="50">
        <v>6700</v>
      </c>
      <c r="L5" s="60">
        <v>90.2</v>
      </c>
      <c r="M5" s="160"/>
      <c r="N5" s="51">
        <v>75.5</v>
      </c>
      <c r="O5" s="50">
        <v>70.2</v>
      </c>
      <c r="P5" s="52">
        <v>75.5</v>
      </c>
      <c r="Q5" s="160"/>
      <c r="R5" s="49">
        <v>62.2</v>
      </c>
      <c r="S5" s="50">
        <v>64.2</v>
      </c>
      <c r="T5" s="60">
        <v>4300</v>
      </c>
    </row>
    <row r="6" spans="1:20" ht="15.75" thickBot="1" x14ac:dyDescent="0.3">
      <c r="A6" s="56">
        <v>2017</v>
      </c>
      <c r="B6" s="87">
        <v>2</v>
      </c>
      <c r="C6" s="161" t="s">
        <v>187</v>
      </c>
      <c r="D6" s="162">
        <v>89</v>
      </c>
      <c r="E6" s="163">
        <v>85</v>
      </c>
      <c r="F6" s="164">
        <v>7850</v>
      </c>
      <c r="G6" s="88"/>
      <c r="H6" s="160"/>
      <c r="I6" s="163">
        <v>83</v>
      </c>
      <c r="J6" s="163">
        <v>79</v>
      </c>
      <c r="K6" s="164">
        <v>6850</v>
      </c>
      <c r="L6" s="89"/>
      <c r="M6" s="160"/>
      <c r="N6" s="163">
        <v>76</v>
      </c>
      <c r="O6" s="163">
        <v>69</v>
      </c>
      <c r="P6" s="88"/>
      <c r="Q6" s="160"/>
      <c r="R6" s="163">
        <v>61</v>
      </c>
      <c r="S6" s="163">
        <v>63</v>
      </c>
      <c r="T6" s="164">
        <v>4850</v>
      </c>
    </row>
    <row r="7" spans="1:20" x14ac:dyDescent="0.25">
      <c r="A7" s="20">
        <v>2018</v>
      </c>
      <c r="B7" s="45">
        <v>2</v>
      </c>
      <c r="C7" s="169" t="s">
        <v>292</v>
      </c>
      <c r="D7" s="46">
        <v>90</v>
      </c>
      <c r="E7" s="53">
        <v>88</v>
      </c>
      <c r="F7" s="53">
        <v>8000</v>
      </c>
      <c r="G7" s="48">
        <v>88</v>
      </c>
      <c r="H7" s="160"/>
      <c r="I7" s="47">
        <v>83</v>
      </c>
      <c r="J7" s="53">
        <v>79</v>
      </c>
      <c r="K7" s="53">
        <v>7200</v>
      </c>
      <c r="L7" s="62">
        <v>74</v>
      </c>
      <c r="M7" s="160"/>
      <c r="N7" s="47">
        <v>77</v>
      </c>
      <c r="O7" s="53">
        <v>72</v>
      </c>
      <c r="P7" s="48">
        <v>78</v>
      </c>
      <c r="Q7" s="160"/>
      <c r="R7" s="46">
        <v>62</v>
      </c>
      <c r="S7" s="53">
        <v>64</v>
      </c>
      <c r="T7" s="62">
        <v>4850</v>
      </c>
    </row>
    <row r="8" spans="1:20" ht="15.75" thickBot="1" x14ac:dyDescent="0.3">
      <c r="A8" s="55">
        <v>2019</v>
      </c>
      <c r="B8" s="59">
        <v>2</v>
      </c>
      <c r="C8" s="170" t="s">
        <v>293</v>
      </c>
      <c r="D8" s="49">
        <v>90.2</v>
      </c>
      <c r="E8" s="50">
        <v>88.5</v>
      </c>
      <c r="F8" s="50">
        <v>8000</v>
      </c>
      <c r="G8" s="52">
        <v>88.2</v>
      </c>
      <c r="H8" s="160"/>
      <c r="I8" s="51">
        <v>83.2</v>
      </c>
      <c r="J8" s="50">
        <v>79.2</v>
      </c>
      <c r="K8" s="50">
        <v>7200</v>
      </c>
      <c r="L8" s="60">
        <v>74.2</v>
      </c>
      <c r="M8" s="160"/>
      <c r="N8" s="51">
        <v>77.5</v>
      </c>
      <c r="O8" s="50">
        <v>72.2</v>
      </c>
      <c r="P8" s="52">
        <v>78.3</v>
      </c>
      <c r="Q8" s="160"/>
      <c r="R8" s="49">
        <v>62.2</v>
      </c>
      <c r="S8" s="50">
        <v>64.2</v>
      </c>
      <c r="T8" s="60">
        <v>4850</v>
      </c>
    </row>
    <row r="9" spans="1:20" ht="15.75" thickBot="1" x14ac:dyDescent="0.3">
      <c r="A9" s="56">
        <v>2017</v>
      </c>
      <c r="B9" s="65">
        <v>3</v>
      </c>
      <c r="C9" s="161" t="s">
        <v>188</v>
      </c>
      <c r="D9" s="162">
        <v>80</v>
      </c>
      <c r="E9" s="163">
        <v>82</v>
      </c>
      <c r="F9" s="164">
        <v>6500</v>
      </c>
      <c r="G9" s="88"/>
      <c r="H9" s="160"/>
      <c r="I9" s="163">
        <v>75</v>
      </c>
      <c r="J9" s="163">
        <v>79</v>
      </c>
      <c r="K9" s="164">
        <v>6850</v>
      </c>
      <c r="L9" s="89"/>
      <c r="M9" s="160"/>
      <c r="N9" s="163">
        <v>65</v>
      </c>
      <c r="O9" s="163">
        <v>60</v>
      </c>
      <c r="P9" s="88"/>
      <c r="Q9" s="160"/>
      <c r="R9" s="163">
        <v>64</v>
      </c>
      <c r="S9" s="163">
        <v>64</v>
      </c>
      <c r="T9" s="164">
        <v>4850</v>
      </c>
    </row>
    <row r="10" spans="1:20" x14ac:dyDescent="0.25">
      <c r="A10" s="20">
        <v>2018</v>
      </c>
      <c r="B10" s="61">
        <v>3</v>
      </c>
      <c r="C10" s="169" t="s">
        <v>290</v>
      </c>
      <c r="D10" s="46">
        <v>85</v>
      </c>
      <c r="E10" s="53">
        <v>82.5</v>
      </c>
      <c r="F10" s="53">
        <v>6850</v>
      </c>
      <c r="G10" s="48">
        <v>82</v>
      </c>
      <c r="H10" s="160"/>
      <c r="I10" s="47">
        <v>83</v>
      </c>
      <c r="J10" s="53">
        <v>60</v>
      </c>
      <c r="K10" s="53">
        <v>7000</v>
      </c>
      <c r="L10" s="62">
        <v>85</v>
      </c>
      <c r="M10" s="160"/>
      <c r="N10" s="47">
        <v>75</v>
      </c>
      <c r="O10" s="53">
        <v>60</v>
      </c>
      <c r="P10" s="48">
        <v>77</v>
      </c>
      <c r="Q10" s="160"/>
      <c r="R10" s="46">
        <v>62</v>
      </c>
      <c r="S10" s="53">
        <v>64</v>
      </c>
      <c r="T10" s="62">
        <v>4400</v>
      </c>
    </row>
    <row r="11" spans="1:20" ht="15.75" thickBot="1" x14ac:dyDescent="0.3">
      <c r="A11" s="55">
        <v>2019</v>
      </c>
      <c r="B11" s="59">
        <v>3</v>
      </c>
      <c r="C11" s="170" t="s">
        <v>291</v>
      </c>
      <c r="D11" s="49">
        <v>85.2</v>
      </c>
      <c r="E11" s="50">
        <v>83</v>
      </c>
      <c r="F11" s="50">
        <v>6850</v>
      </c>
      <c r="G11" s="52">
        <v>85</v>
      </c>
      <c r="H11" s="160"/>
      <c r="I11" s="51">
        <v>83.2</v>
      </c>
      <c r="J11" s="50">
        <v>60.2</v>
      </c>
      <c r="K11" s="50">
        <v>7000</v>
      </c>
      <c r="L11" s="60">
        <v>85.2</v>
      </c>
      <c r="M11" s="160"/>
      <c r="N11" s="51">
        <v>75.5</v>
      </c>
      <c r="O11" s="50">
        <v>62</v>
      </c>
      <c r="P11" s="52">
        <v>77.3</v>
      </c>
      <c r="Q11" s="160"/>
      <c r="R11" s="49">
        <v>62.2</v>
      </c>
      <c r="S11" s="50">
        <v>64.2</v>
      </c>
      <c r="T11" s="60">
        <v>4450</v>
      </c>
    </row>
    <row r="12" spans="1:20" ht="15.75" thickBot="1" x14ac:dyDescent="0.3">
      <c r="A12" s="56">
        <v>2017</v>
      </c>
      <c r="B12" s="65">
        <v>4</v>
      </c>
      <c r="C12" s="161" t="s">
        <v>189</v>
      </c>
      <c r="D12" s="162">
        <v>89</v>
      </c>
      <c r="E12" s="163">
        <v>85</v>
      </c>
      <c r="F12" s="164">
        <v>9341</v>
      </c>
      <c r="G12" s="88"/>
      <c r="H12" s="160"/>
      <c r="I12" s="163">
        <v>83</v>
      </c>
      <c r="J12" s="163">
        <v>79</v>
      </c>
      <c r="K12" s="164">
        <v>8357</v>
      </c>
      <c r="L12" s="89"/>
      <c r="M12" s="160"/>
      <c r="N12" s="163">
        <v>60</v>
      </c>
      <c r="O12" s="163">
        <v>69</v>
      </c>
      <c r="P12" s="88"/>
      <c r="Q12" s="160"/>
      <c r="R12" s="163">
        <v>64</v>
      </c>
      <c r="S12" s="163">
        <v>66</v>
      </c>
      <c r="T12" s="164">
        <v>4850</v>
      </c>
    </row>
    <row r="13" spans="1:20" x14ac:dyDescent="0.25">
      <c r="A13" s="20">
        <v>2018</v>
      </c>
      <c r="B13" s="61">
        <v>4</v>
      </c>
      <c r="C13" s="169" t="s">
        <v>288</v>
      </c>
      <c r="D13" s="46">
        <v>90</v>
      </c>
      <c r="E13" s="53">
        <v>85</v>
      </c>
      <c r="F13" s="53">
        <v>8600</v>
      </c>
      <c r="G13" s="48">
        <v>87</v>
      </c>
      <c r="H13" s="160"/>
      <c r="I13" s="47">
        <v>83</v>
      </c>
      <c r="J13" s="53">
        <v>79</v>
      </c>
      <c r="K13" s="53">
        <v>7600</v>
      </c>
      <c r="L13" s="62">
        <v>82</v>
      </c>
      <c r="M13" s="160"/>
      <c r="N13" s="47">
        <v>75</v>
      </c>
      <c r="O13" s="53">
        <v>70</v>
      </c>
      <c r="P13" s="48">
        <v>75.2</v>
      </c>
      <c r="Q13" s="160"/>
      <c r="R13" s="46">
        <v>66</v>
      </c>
      <c r="S13" s="53">
        <v>64</v>
      </c>
      <c r="T13" s="62">
        <v>4850</v>
      </c>
    </row>
    <row r="14" spans="1:20" ht="15.75" thickBot="1" x14ac:dyDescent="0.3">
      <c r="A14" s="55">
        <v>2019</v>
      </c>
      <c r="B14" s="59">
        <v>4</v>
      </c>
      <c r="C14" s="170" t="s">
        <v>289</v>
      </c>
      <c r="D14" s="41">
        <v>90.2</v>
      </c>
      <c r="E14" s="42">
        <v>85.5</v>
      </c>
      <c r="F14" s="42">
        <v>8600</v>
      </c>
      <c r="G14" s="44">
        <v>90</v>
      </c>
      <c r="H14" s="160"/>
      <c r="I14" s="43">
        <v>83.2</v>
      </c>
      <c r="J14" s="42">
        <v>79.2</v>
      </c>
      <c r="K14" s="42">
        <v>7600</v>
      </c>
      <c r="L14" s="63">
        <v>82.2</v>
      </c>
      <c r="M14" s="160"/>
      <c r="N14" s="43">
        <v>75.5</v>
      </c>
      <c r="O14" s="42">
        <v>70.2</v>
      </c>
      <c r="P14" s="44">
        <v>75.5</v>
      </c>
      <c r="Q14" s="160"/>
      <c r="R14" s="41">
        <v>66.2</v>
      </c>
      <c r="S14" s="42">
        <v>64.2</v>
      </c>
      <c r="T14" s="63">
        <v>4850</v>
      </c>
    </row>
    <row r="15" spans="1:20" ht="15.75" thickBot="1" x14ac:dyDescent="0.3">
      <c r="A15" s="56">
        <v>2017</v>
      </c>
      <c r="B15" s="65">
        <v>5</v>
      </c>
      <c r="C15" s="161" t="s">
        <v>190</v>
      </c>
      <c r="D15" s="162">
        <v>86</v>
      </c>
      <c r="E15" s="163">
        <v>85</v>
      </c>
      <c r="F15" s="164">
        <v>7100</v>
      </c>
      <c r="G15" s="88"/>
      <c r="H15" s="160"/>
      <c r="I15" s="163">
        <v>80</v>
      </c>
      <c r="J15" s="163">
        <v>79</v>
      </c>
      <c r="K15" s="164">
        <v>6000</v>
      </c>
      <c r="L15" s="89"/>
      <c r="M15" s="160"/>
      <c r="N15" s="163">
        <v>70</v>
      </c>
      <c r="O15" s="163">
        <v>66</v>
      </c>
      <c r="P15" s="88"/>
      <c r="Q15" s="160"/>
      <c r="R15" s="163">
        <v>64</v>
      </c>
      <c r="S15" s="163">
        <v>66</v>
      </c>
      <c r="T15" s="164">
        <v>4850</v>
      </c>
    </row>
    <row r="16" spans="1:20" x14ac:dyDescent="0.25">
      <c r="A16" s="20">
        <v>2018</v>
      </c>
      <c r="B16" s="61">
        <v>5</v>
      </c>
      <c r="C16" s="169" t="s">
        <v>286</v>
      </c>
      <c r="D16" s="46">
        <v>89</v>
      </c>
      <c r="E16" s="53">
        <v>83</v>
      </c>
      <c r="F16" s="53">
        <v>7300</v>
      </c>
      <c r="G16" s="48">
        <v>78</v>
      </c>
      <c r="H16" s="160"/>
      <c r="I16" s="47">
        <v>83</v>
      </c>
      <c r="J16" s="53">
        <v>80</v>
      </c>
      <c r="K16" s="53">
        <v>6850</v>
      </c>
      <c r="L16" s="62">
        <v>68</v>
      </c>
      <c r="M16" s="160"/>
      <c r="N16" s="47">
        <v>75</v>
      </c>
      <c r="O16" s="53">
        <v>69</v>
      </c>
      <c r="P16" s="53">
        <v>76</v>
      </c>
      <c r="Q16" s="160"/>
      <c r="R16" s="53">
        <v>65</v>
      </c>
      <c r="S16" s="53">
        <v>64</v>
      </c>
      <c r="T16" s="62">
        <v>4850</v>
      </c>
    </row>
    <row r="17" spans="1:20" ht="15.75" thickBot="1" x14ac:dyDescent="0.3">
      <c r="A17" s="55">
        <v>2019</v>
      </c>
      <c r="B17" s="59">
        <v>5</v>
      </c>
      <c r="C17" s="170" t="s">
        <v>287</v>
      </c>
      <c r="D17" s="49">
        <v>89.2</v>
      </c>
      <c r="E17" s="50">
        <v>83.5</v>
      </c>
      <c r="F17" s="50">
        <v>7300</v>
      </c>
      <c r="G17" s="52">
        <v>81</v>
      </c>
      <c r="H17" s="160"/>
      <c r="I17" s="51">
        <v>83.2</v>
      </c>
      <c r="J17" s="50">
        <v>80.2</v>
      </c>
      <c r="K17" s="50">
        <v>6850</v>
      </c>
      <c r="L17" s="60">
        <v>68.2</v>
      </c>
      <c r="M17" s="160"/>
      <c r="N17" s="51">
        <v>75.5</v>
      </c>
      <c r="O17" s="50">
        <v>69.2</v>
      </c>
      <c r="P17" s="50">
        <v>76.3</v>
      </c>
      <c r="Q17" s="160"/>
      <c r="R17" s="50">
        <v>65.2</v>
      </c>
      <c r="S17" s="50">
        <v>64.2</v>
      </c>
      <c r="T17" s="60">
        <v>4850</v>
      </c>
    </row>
    <row r="18" spans="1:20" ht="15.75" thickBot="1" x14ac:dyDescent="0.3">
      <c r="A18" s="56">
        <v>2017</v>
      </c>
      <c r="B18" s="65">
        <v>6</v>
      </c>
      <c r="C18" s="161" t="s">
        <v>191</v>
      </c>
      <c r="D18" s="162">
        <v>80.099999999999994</v>
      </c>
      <c r="E18" s="163">
        <v>85</v>
      </c>
      <c r="F18" s="164">
        <v>7850</v>
      </c>
      <c r="G18" s="88"/>
      <c r="H18" s="160"/>
      <c r="I18" s="163">
        <v>83</v>
      </c>
      <c r="J18" s="163">
        <v>71.099999999999994</v>
      </c>
      <c r="K18" s="164">
        <v>6850</v>
      </c>
      <c r="L18" s="89"/>
      <c r="M18" s="160"/>
      <c r="N18" s="163">
        <v>76</v>
      </c>
      <c r="O18" s="163">
        <v>67</v>
      </c>
      <c r="P18" s="88"/>
      <c r="Q18" s="160"/>
      <c r="R18" s="163">
        <v>58.5</v>
      </c>
      <c r="S18" s="163">
        <v>56</v>
      </c>
      <c r="T18" s="164">
        <v>4850</v>
      </c>
    </row>
    <row r="19" spans="1:20" x14ac:dyDescent="0.25">
      <c r="A19" s="20">
        <v>2018</v>
      </c>
      <c r="B19" s="61">
        <v>6</v>
      </c>
      <c r="C19" s="169" t="s">
        <v>284</v>
      </c>
      <c r="D19" s="19">
        <v>85</v>
      </c>
      <c r="E19" s="17">
        <v>83</v>
      </c>
      <c r="F19" s="17">
        <v>7500</v>
      </c>
      <c r="G19" s="23">
        <v>70</v>
      </c>
      <c r="H19" s="160"/>
      <c r="I19" s="18">
        <v>83</v>
      </c>
      <c r="J19" s="17">
        <v>79</v>
      </c>
      <c r="K19" s="17">
        <v>6850</v>
      </c>
      <c r="L19" s="64">
        <v>68</v>
      </c>
      <c r="M19" s="160"/>
      <c r="N19" s="18">
        <v>75</v>
      </c>
      <c r="O19" s="17">
        <v>69</v>
      </c>
      <c r="P19" s="23">
        <v>75.2</v>
      </c>
      <c r="Q19" s="160"/>
      <c r="R19" s="19">
        <v>62</v>
      </c>
      <c r="S19" s="17">
        <v>64</v>
      </c>
      <c r="T19" s="64">
        <v>4850</v>
      </c>
    </row>
    <row r="20" spans="1:20" ht="15.75" thickBot="1" x14ac:dyDescent="0.3">
      <c r="A20" s="55">
        <v>2019</v>
      </c>
      <c r="B20" s="59">
        <v>6</v>
      </c>
      <c r="C20" s="170" t="s">
        <v>285</v>
      </c>
      <c r="D20" s="49">
        <v>85.2</v>
      </c>
      <c r="E20" s="50">
        <v>83.5</v>
      </c>
      <c r="F20" s="50">
        <v>7500</v>
      </c>
      <c r="G20" s="52">
        <v>73</v>
      </c>
      <c r="H20" s="160"/>
      <c r="I20" s="51">
        <v>83.2</v>
      </c>
      <c r="J20" s="50">
        <v>79.2</v>
      </c>
      <c r="K20" s="50">
        <v>6850</v>
      </c>
      <c r="L20" s="60">
        <v>68.2</v>
      </c>
      <c r="M20" s="160"/>
      <c r="N20" s="51">
        <v>75.5</v>
      </c>
      <c r="O20" s="50">
        <v>69.2</v>
      </c>
      <c r="P20" s="52">
        <v>75.5</v>
      </c>
      <c r="Q20" s="160"/>
      <c r="R20" s="49">
        <v>62.2</v>
      </c>
      <c r="S20" s="50">
        <v>64.2</v>
      </c>
      <c r="T20" s="60">
        <v>4850</v>
      </c>
    </row>
    <row r="21" spans="1:20" x14ac:dyDescent="0.25">
      <c r="A21" s="56">
        <v>2017</v>
      </c>
      <c r="B21" s="65">
        <v>7</v>
      </c>
      <c r="C21" s="161" t="s">
        <v>192</v>
      </c>
      <c r="D21" s="162">
        <v>89</v>
      </c>
      <c r="E21" s="163">
        <v>85</v>
      </c>
      <c r="F21" s="164">
        <v>7850</v>
      </c>
      <c r="G21" s="88"/>
      <c r="H21" s="160"/>
      <c r="I21" s="163">
        <v>83</v>
      </c>
      <c r="J21" s="163">
        <v>79</v>
      </c>
      <c r="K21" s="164">
        <v>6850</v>
      </c>
      <c r="L21" s="89"/>
      <c r="M21" s="160"/>
      <c r="N21" s="163">
        <v>76</v>
      </c>
      <c r="O21" s="163">
        <v>69</v>
      </c>
      <c r="P21" s="88"/>
      <c r="Q21" s="160"/>
      <c r="R21" s="163">
        <v>64</v>
      </c>
      <c r="S21" s="163">
        <v>66</v>
      </c>
      <c r="T21" s="164">
        <v>4850</v>
      </c>
    </row>
    <row r="22" spans="1:20" x14ac:dyDescent="0.25">
      <c r="A22" s="22">
        <v>2018</v>
      </c>
      <c r="B22" s="65">
        <v>7</v>
      </c>
      <c r="C22" s="171" t="s">
        <v>282</v>
      </c>
      <c r="D22" s="19">
        <v>90</v>
      </c>
      <c r="E22" s="17">
        <v>89</v>
      </c>
      <c r="F22" s="17">
        <v>8800</v>
      </c>
      <c r="G22" s="23">
        <v>90</v>
      </c>
      <c r="H22" s="160"/>
      <c r="I22" s="18">
        <v>84</v>
      </c>
      <c r="J22" s="17">
        <v>82</v>
      </c>
      <c r="K22" s="17">
        <v>7500</v>
      </c>
      <c r="L22" s="64">
        <v>73</v>
      </c>
      <c r="M22" s="160"/>
      <c r="N22" s="18">
        <v>70</v>
      </c>
      <c r="O22" s="17">
        <v>64.099999999999994</v>
      </c>
      <c r="P22" s="23">
        <v>73.3</v>
      </c>
      <c r="Q22" s="160"/>
      <c r="R22" s="19">
        <v>62</v>
      </c>
      <c r="S22" s="17">
        <v>60.2</v>
      </c>
      <c r="T22" s="64">
        <v>4100</v>
      </c>
    </row>
    <row r="23" spans="1:20" ht="15.75" thickBot="1" x14ac:dyDescent="0.3">
      <c r="A23" s="55">
        <v>2019</v>
      </c>
      <c r="B23" s="65">
        <v>7</v>
      </c>
      <c r="C23" s="171" t="s">
        <v>283</v>
      </c>
      <c r="D23" s="41">
        <v>90.2</v>
      </c>
      <c r="E23" s="42">
        <v>89.5</v>
      </c>
      <c r="F23" s="42">
        <v>8800</v>
      </c>
      <c r="G23" s="44">
        <v>93</v>
      </c>
      <c r="H23" s="160"/>
      <c r="I23" s="43">
        <v>84.2</v>
      </c>
      <c r="J23" s="42">
        <v>82.2</v>
      </c>
      <c r="K23" s="42">
        <v>7500</v>
      </c>
      <c r="L23" s="63">
        <v>73.2</v>
      </c>
      <c r="M23" s="160"/>
      <c r="N23" s="43">
        <v>70.2</v>
      </c>
      <c r="O23" s="42">
        <v>64.3</v>
      </c>
      <c r="P23" s="44">
        <v>73.5</v>
      </c>
      <c r="Q23" s="160"/>
      <c r="R23" s="41">
        <v>62.2</v>
      </c>
      <c r="S23" s="42">
        <v>60.4</v>
      </c>
      <c r="T23" s="63">
        <v>4100</v>
      </c>
    </row>
    <row r="24" spans="1:20" ht="15.75" thickBot="1" x14ac:dyDescent="0.3">
      <c r="A24" s="56">
        <v>2017</v>
      </c>
      <c r="B24" s="65">
        <v>8</v>
      </c>
      <c r="C24" s="161" t="s">
        <v>193</v>
      </c>
      <c r="D24" s="162">
        <v>88.58</v>
      </c>
      <c r="E24" s="163">
        <v>85</v>
      </c>
      <c r="F24" s="164">
        <v>7850</v>
      </c>
      <c r="G24" s="88"/>
      <c r="H24" s="160"/>
      <c r="I24" s="163">
        <v>82.4</v>
      </c>
      <c r="J24" s="163">
        <v>78.28</v>
      </c>
      <c r="K24" s="164">
        <v>6850</v>
      </c>
      <c r="L24" s="89"/>
      <c r="M24" s="160"/>
      <c r="N24" s="163">
        <v>75.19</v>
      </c>
      <c r="O24" s="163">
        <v>67.98</v>
      </c>
      <c r="P24" s="88"/>
      <c r="Q24" s="160"/>
      <c r="R24" s="163">
        <v>64</v>
      </c>
      <c r="S24" s="163">
        <v>64.89</v>
      </c>
      <c r="T24" s="164">
        <v>4850</v>
      </c>
    </row>
    <row r="25" spans="1:20" x14ac:dyDescent="0.25">
      <c r="A25" s="20">
        <v>2018</v>
      </c>
      <c r="B25" s="61">
        <v>8</v>
      </c>
      <c r="C25" s="169" t="s">
        <v>280</v>
      </c>
      <c r="D25" s="46">
        <v>88.5</v>
      </c>
      <c r="E25" s="53">
        <v>86</v>
      </c>
      <c r="F25" s="53">
        <v>9800</v>
      </c>
      <c r="G25" s="48">
        <v>84</v>
      </c>
      <c r="H25" s="160"/>
      <c r="I25" s="47">
        <v>83</v>
      </c>
      <c r="J25" s="53">
        <v>79</v>
      </c>
      <c r="K25" s="53">
        <v>7700</v>
      </c>
      <c r="L25" s="62">
        <v>84</v>
      </c>
      <c r="M25" s="160"/>
      <c r="N25" s="47">
        <v>75</v>
      </c>
      <c r="O25" s="53">
        <v>69</v>
      </c>
      <c r="P25" s="48">
        <v>75.2</v>
      </c>
      <c r="Q25" s="160"/>
      <c r="R25" s="46">
        <v>62</v>
      </c>
      <c r="S25" s="53">
        <v>64</v>
      </c>
      <c r="T25" s="62">
        <v>4850</v>
      </c>
    </row>
    <row r="26" spans="1:20" ht="15.75" thickBot="1" x14ac:dyDescent="0.3">
      <c r="A26" s="55">
        <v>2019</v>
      </c>
      <c r="B26" s="59">
        <v>8</v>
      </c>
      <c r="C26" s="170" t="s">
        <v>281</v>
      </c>
      <c r="D26" s="49">
        <v>88.7</v>
      </c>
      <c r="E26" s="50">
        <v>86.5</v>
      </c>
      <c r="F26" s="50">
        <v>9800</v>
      </c>
      <c r="G26" s="52">
        <v>86.5</v>
      </c>
      <c r="H26" s="160"/>
      <c r="I26" s="51">
        <v>83.2</v>
      </c>
      <c r="J26" s="50">
        <v>79.2</v>
      </c>
      <c r="K26" s="50">
        <v>7700</v>
      </c>
      <c r="L26" s="60">
        <v>84.2</v>
      </c>
      <c r="M26" s="160"/>
      <c r="N26" s="51">
        <v>75.5</v>
      </c>
      <c r="O26" s="50">
        <v>69.2</v>
      </c>
      <c r="P26" s="52">
        <v>75.5</v>
      </c>
      <c r="Q26" s="160"/>
      <c r="R26" s="49">
        <v>62.2</v>
      </c>
      <c r="S26" s="50">
        <v>64.2</v>
      </c>
      <c r="T26" s="60">
        <v>4850</v>
      </c>
    </row>
    <row r="27" spans="1:20" ht="15.75" thickBot="1" x14ac:dyDescent="0.3">
      <c r="A27" s="56">
        <v>2017</v>
      </c>
      <c r="B27" s="65">
        <v>9</v>
      </c>
      <c r="C27" s="161" t="s">
        <v>194</v>
      </c>
      <c r="D27" s="162">
        <v>86</v>
      </c>
      <c r="E27" s="163">
        <v>72</v>
      </c>
      <c r="F27" s="164">
        <v>7850</v>
      </c>
      <c r="G27" s="88"/>
      <c r="H27" s="160"/>
      <c r="I27" s="163">
        <v>83</v>
      </c>
      <c r="J27" s="163">
        <v>62</v>
      </c>
      <c r="K27" s="164">
        <v>6850</v>
      </c>
      <c r="L27" s="89"/>
      <c r="M27" s="160"/>
      <c r="N27" s="163">
        <v>73</v>
      </c>
      <c r="O27" s="163">
        <v>64</v>
      </c>
      <c r="P27" s="88"/>
      <c r="Q27" s="160"/>
      <c r="R27" s="163">
        <v>64</v>
      </c>
      <c r="S27" s="163">
        <v>63</v>
      </c>
      <c r="T27" s="164">
        <v>4850</v>
      </c>
    </row>
    <row r="28" spans="1:20" x14ac:dyDescent="0.25">
      <c r="A28" s="20">
        <v>2018</v>
      </c>
      <c r="B28" s="61">
        <v>9</v>
      </c>
      <c r="C28" s="169" t="s">
        <v>278</v>
      </c>
      <c r="D28" s="46">
        <v>85</v>
      </c>
      <c r="E28" s="53">
        <v>82.5</v>
      </c>
      <c r="F28" s="53">
        <v>7700</v>
      </c>
      <c r="G28" s="48">
        <v>79</v>
      </c>
      <c r="H28" s="160"/>
      <c r="I28" s="47">
        <v>75</v>
      </c>
      <c r="J28" s="53">
        <v>72</v>
      </c>
      <c r="K28" s="53">
        <v>8300</v>
      </c>
      <c r="L28" s="62">
        <v>75</v>
      </c>
      <c r="M28" s="160"/>
      <c r="N28" s="47">
        <v>75</v>
      </c>
      <c r="O28" s="53">
        <v>69</v>
      </c>
      <c r="P28" s="48">
        <v>75.2</v>
      </c>
      <c r="Q28" s="160"/>
      <c r="R28" s="46">
        <v>65</v>
      </c>
      <c r="S28" s="53">
        <v>64</v>
      </c>
      <c r="T28" s="62">
        <v>4850</v>
      </c>
    </row>
    <row r="29" spans="1:20" ht="15.75" thickBot="1" x14ac:dyDescent="0.3">
      <c r="A29" s="55">
        <v>2019</v>
      </c>
      <c r="B29" s="59">
        <v>9</v>
      </c>
      <c r="C29" s="170" t="s">
        <v>279</v>
      </c>
      <c r="D29" s="49">
        <v>85.2</v>
      </c>
      <c r="E29" s="50">
        <v>83</v>
      </c>
      <c r="F29" s="50">
        <v>7700</v>
      </c>
      <c r="G29" s="52">
        <v>82</v>
      </c>
      <c r="H29" s="160"/>
      <c r="I29" s="51">
        <v>75.2</v>
      </c>
      <c r="J29" s="50">
        <v>72.2</v>
      </c>
      <c r="K29" s="50">
        <v>8300</v>
      </c>
      <c r="L29" s="60">
        <v>75.2</v>
      </c>
      <c r="M29" s="160"/>
      <c r="N29" s="51">
        <v>75.5</v>
      </c>
      <c r="O29" s="50">
        <v>69.2</v>
      </c>
      <c r="P29" s="52">
        <v>75.5</v>
      </c>
      <c r="Q29" s="160"/>
      <c r="R29" s="49">
        <v>65.2</v>
      </c>
      <c r="S29" s="50">
        <v>64.2</v>
      </c>
      <c r="T29" s="60">
        <v>4850</v>
      </c>
    </row>
    <row r="30" spans="1:20" ht="15.75" thickBot="1" x14ac:dyDescent="0.3">
      <c r="A30" s="56">
        <v>2017</v>
      </c>
      <c r="B30" s="65">
        <v>10</v>
      </c>
      <c r="C30" s="161" t="s">
        <v>195</v>
      </c>
      <c r="D30" s="162">
        <v>89</v>
      </c>
      <c r="E30" s="163">
        <v>85</v>
      </c>
      <c r="F30" s="164">
        <v>7850</v>
      </c>
      <c r="G30" s="88"/>
      <c r="H30" s="160"/>
      <c r="I30" s="163">
        <v>83</v>
      </c>
      <c r="J30" s="163">
        <v>79</v>
      </c>
      <c r="K30" s="164">
        <v>6850</v>
      </c>
      <c r="L30" s="89"/>
      <c r="M30" s="160"/>
      <c r="N30" s="163">
        <v>76</v>
      </c>
      <c r="O30" s="163">
        <v>69</v>
      </c>
      <c r="P30" s="88"/>
      <c r="Q30" s="160"/>
      <c r="R30" s="163">
        <v>64</v>
      </c>
      <c r="S30" s="163">
        <v>66</v>
      </c>
      <c r="T30" s="164">
        <v>4850</v>
      </c>
    </row>
    <row r="31" spans="1:20" x14ac:dyDescent="0.25">
      <c r="A31" s="20">
        <v>2018</v>
      </c>
      <c r="B31" s="61">
        <v>10</v>
      </c>
      <c r="C31" s="169" t="s">
        <v>211</v>
      </c>
      <c r="D31" s="46">
        <v>85</v>
      </c>
      <c r="E31" s="53">
        <v>82</v>
      </c>
      <c r="F31" s="53">
        <v>6850</v>
      </c>
      <c r="G31" s="48">
        <v>85</v>
      </c>
      <c r="H31" s="160"/>
      <c r="I31" s="47">
        <v>83</v>
      </c>
      <c r="J31" s="53">
        <v>75</v>
      </c>
      <c r="K31" s="53">
        <v>6850</v>
      </c>
      <c r="L31" s="62">
        <v>75</v>
      </c>
      <c r="M31" s="160"/>
      <c r="N31" s="47">
        <v>75</v>
      </c>
      <c r="O31" s="53">
        <v>69</v>
      </c>
      <c r="P31" s="48">
        <v>85</v>
      </c>
      <c r="Q31" s="160"/>
      <c r="R31" s="46">
        <v>62</v>
      </c>
      <c r="S31" s="53">
        <v>64</v>
      </c>
      <c r="T31" s="62">
        <v>4850</v>
      </c>
    </row>
    <row r="32" spans="1:20" ht="15.75" thickBot="1" x14ac:dyDescent="0.3">
      <c r="A32" s="55">
        <v>2019</v>
      </c>
      <c r="B32" s="59">
        <v>10</v>
      </c>
      <c r="C32" s="170" t="s">
        <v>277</v>
      </c>
      <c r="D32" s="49">
        <v>85.2</v>
      </c>
      <c r="E32" s="50">
        <v>82.5</v>
      </c>
      <c r="F32" s="50">
        <v>6850</v>
      </c>
      <c r="G32" s="52">
        <v>88</v>
      </c>
      <c r="H32" s="160"/>
      <c r="I32" s="51">
        <v>83.2</v>
      </c>
      <c r="J32" s="50">
        <v>76</v>
      </c>
      <c r="K32" s="50">
        <v>6850</v>
      </c>
      <c r="L32" s="60">
        <v>75.2</v>
      </c>
      <c r="M32" s="160"/>
      <c r="N32" s="51">
        <v>75.5</v>
      </c>
      <c r="O32" s="50">
        <v>69.2</v>
      </c>
      <c r="P32" s="52">
        <v>85.3</v>
      </c>
      <c r="Q32" s="160"/>
      <c r="R32" s="49">
        <v>62.2</v>
      </c>
      <c r="S32" s="50">
        <v>64.2</v>
      </c>
      <c r="T32" s="60">
        <v>4850</v>
      </c>
    </row>
    <row r="33" spans="1:20" ht="15.75" thickBot="1" x14ac:dyDescent="0.3">
      <c r="A33" s="56">
        <v>2017</v>
      </c>
      <c r="B33" s="65">
        <v>11</v>
      </c>
      <c r="C33" s="161" t="s">
        <v>196</v>
      </c>
      <c r="D33" s="162">
        <v>89</v>
      </c>
      <c r="E33" s="163">
        <v>85</v>
      </c>
      <c r="F33" s="164">
        <v>7850</v>
      </c>
      <c r="G33" s="88"/>
      <c r="H33" s="160"/>
      <c r="I33" s="163">
        <v>83</v>
      </c>
      <c r="J33" s="163">
        <v>79</v>
      </c>
      <c r="K33" s="164">
        <v>6850</v>
      </c>
      <c r="L33" s="89"/>
      <c r="M33" s="160"/>
      <c r="N33" s="163">
        <v>76</v>
      </c>
      <c r="O33" s="163">
        <v>69</v>
      </c>
      <c r="P33" s="88"/>
      <c r="Q33" s="160"/>
      <c r="R33" s="163">
        <v>64</v>
      </c>
      <c r="S33" s="163">
        <v>66</v>
      </c>
      <c r="T33" s="164">
        <v>4850</v>
      </c>
    </row>
    <row r="34" spans="1:20" x14ac:dyDescent="0.25">
      <c r="A34" s="20">
        <v>2018</v>
      </c>
      <c r="B34" s="61">
        <v>11</v>
      </c>
      <c r="C34" s="169" t="s">
        <v>212</v>
      </c>
      <c r="D34" s="46">
        <v>86</v>
      </c>
      <c r="E34" s="53">
        <v>82.5</v>
      </c>
      <c r="F34" s="53">
        <v>6850</v>
      </c>
      <c r="G34" s="48">
        <v>74</v>
      </c>
      <c r="H34" s="160"/>
      <c r="I34" s="47">
        <v>83</v>
      </c>
      <c r="J34" s="53">
        <v>79</v>
      </c>
      <c r="K34" s="53">
        <v>6850</v>
      </c>
      <c r="L34" s="62">
        <v>74</v>
      </c>
      <c r="M34" s="160"/>
      <c r="N34" s="47">
        <v>76</v>
      </c>
      <c r="O34" s="53">
        <v>69</v>
      </c>
      <c r="P34" s="48">
        <v>75.2</v>
      </c>
      <c r="Q34" s="160"/>
      <c r="R34" s="46">
        <v>62</v>
      </c>
      <c r="S34" s="53">
        <v>64</v>
      </c>
      <c r="T34" s="62">
        <v>4850</v>
      </c>
    </row>
    <row r="35" spans="1:20" ht="15.75" thickBot="1" x14ac:dyDescent="0.3">
      <c r="A35" s="55">
        <v>2019</v>
      </c>
      <c r="B35" s="59">
        <v>11</v>
      </c>
      <c r="C35" s="170" t="s">
        <v>276</v>
      </c>
      <c r="D35" s="49">
        <v>86.2</v>
      </c>
      <c r="E35" s="50">
        <v>83</v>
      </c>
      <c r="F35" s="50">
        <v>6850</v>
      </c>
      <c r="G35" s="52">
        <v>77</v>
      </c>
      <c r="H35" s="160"/>
      <c r="I35" s="51">
        <v>83.2</v>
      </c>
      <c r="J35" s="50">
        <v>79.2</v>
      </c>
      <c r="K35" s="50">
        <v>6850</v>
      </c>
      <c r="L35" s="60">
        <v>74.2</v>
      </c>
      <c r="M35" s="160"/>
      <c r="N35" s="51">
        <v>76.5</v>
      </c>
      <c r="O35" s="50">
        <v>69.2</v>
      </c>
      <c r="P35" s="52">
        <v>75.5</v>
      </c>
      <c r="Q35" s="160"/>
      <c r="R35" s="49">
        <v>62.2</v>
      </c>
      <c r="S35" s="50">
        <v>64.2</v>
      </c>
      <c r="T35" s="60">
        <v>4850</v>
      </c>
    </row>
    <row r="36" spans="1:20" ht="15.75" thickBot="1" x14ac:dyDescent="0.3">
      <c r="A36" s="56">
        <v>2017</v>
      </c>
      <c r="B36" s="65">
        <v>12</v>
      </c>
      <c r="C36" s="161" t="s">
        <v>197</v>
      </c>
      <c r="D36" s="162">
        <v>80.099999999999994</v>
      </c>
      <c r="E36" s="163">
        <v>76.5</v>
      </c>
      <c r="F36" s="164">
        <v>7065</v>
      </c>
      <c r="G36" s="88"/>
      <c r="H36" s="160"/>
      <c r="I36" s="163">
        <v>76</v>
      </c>
      <c r="J36" s="163">
        <v>74</v>
      </c>
      <c r="K36" s="164">
        <v>6850</v>
      </c>
      <c r="L36" s="89"/>
      <c r="M36" s="160"/>
      <c r="N36" s="163">
        <v>76</v>
      </c>
      <c r="O36" s="163">
        <v>69</v>
      </c>
      <c r="P36" s="88"/>
      <c r="Q36" s="160"/>
      <c r="R36" s="163">
        <v>64</v>
      </c>
      <c r="S36" s="163">
        <v>66</v>
      </c>
      <c r="T36" s="164">
        <v>4850</v>
      </c>
    </row>
    <row r="37" spans="1:20" x14ac:dyDescent="0.25">
      <c r="A37" s="20">
        <v>2018</v>
      </c>
      <c r="B37" s="61">
        <v>12</v>
      </c>
      <c r="C37" s="169" t="s">
        <v>213</v>
      </c>
      <c r="D37" s="46">
        <v>85</v>
      </c>
      <c r="E37" s="53">
        <v>82.5</v>
      </c>
      <c r="F37" s="53">
        <v>6850</v>
      </c>
      <c r="G37" s="48">
        <v>64</v>
      </c>
      <c r="H37" s="160"/>
      <c r="I37" s="47">
        <v>83</v>
      </c>
      <c r="J37" s="53">
        <v>79</v>
      </c>
      <c r="K37" s="53">
        <v>6850</v>
      </c>
      <c r="L37" s="62">
        <v>68</v>
      </c>
      <c r="M37" s="160"/>
      <c r="N37" s="47">
        <v>71</v>
      </c>
      <c r="O37" s="53">
        <v>65</v>
      </c>
      <c r="P37" s="48">
        <v>90</v>
      </c>
      <c r="Q37" s="160"/>
      <c r="R37" s="46">
        <v>64</v>
      </c>
      <c r="S37" s="53">
        <v>62</v>
      </c>
      <c r="T37" s="62">
        <v>4850</v>
      </c>
    </row>
    <row r="38" spans="1:20" ht="15.75" thickBot="1" x14ac:dyDescent="0.3">
      <c r="A38" s="55">
        <v>2019</v>
      </c>
      <c r="B38" s="59">
        <v>12</v>
      </c>
      <c r="C38" s="170" t="s">
        <v>275</v>
      </c>
      <c r="D38" s="49">
        <v>85.2</v>
      </c>
      <c r="E38" s="50">
        <v>83</v>
      </c>
      <c r="F38" s="50">
        <v>6850</v>
      </c>
      <c r="G38" s="52">
        <v>67</v>
      </c>
      <c r="H38" s="160"/>
      <c r="I38" s="51">
        <v>83.2</v>
      </c>
      <c r="J38" s="50">
        <v>79.2</v>
      </c>
      <c r="K38" s="50">
        <v>6850</v>
      </c>
      <c r="L38" s="60">
        <v>68.2</v>
      </c>
      <c r="M38" s="160"/>
      <c r="N38" s="51">
        <v>72</v>
      </c>
      <c r="O38" s="50">
        <v>66</v>
      </c>
      <c r="P38" s="52">
        <v>90.3</v>
      </c>
      <c r="Q38" s="160"/>
      <c r="R38" s="49">
        <v>65</v>
      </c>
      <c r="S38" s="50">
        <v>63</v>
      </c>
      <c r="T38" s="60">
        <v>4850</v>
      </c>
    </row>
    <row r="39" spans="1:20" ht="15.75" thickBot="1" x14ac:dyDescent="0.3">
      <c r="A39" s="56">
        <v>2017</v>
      </c>
      <c r="B39" s="65">
        <v>13</v>
      </c>
      <c r="C39" s="161" t="s">
        <v>198</v>
      </c>
      <c r="D39" s="162">
        <v>87</v>
      </c>
      <c r="E39" s="163">
        <v>85</v>
      </c>
      <c r="F39" s="164">
        <v>7850</v>
      </c>
      <c r="G39" s="88"/>
      <c r="H39" s="160"/>
      <c r="I39" s="163">
        <v>83</v>
      </c>
      <c r="J39" s="163">
        <v>79</v>
      </c>
      <c r="K39" s="164">
        <v>6850</v>
      </c>
      <c r="L39" s="89"/>
      <c r="M39" s="160"/>
      <c r="N39" s="163">
        <v>72</v>
      </c>
      <c r="O39" s="163">
        <v>67</v>
      </c>
      <c r="P39" s="88"/>
      <c r="Q39" s="160"/>
      <c r="R39" s="163">
        <v>62</v>
      </c>
      <c r="S39" s="163">
        <v>63</v>
      </c>
      <c r="T39" s="164">
        <v>4850</v>
      </c>
    </row>
    <row r="40" spans="1:20" x14ac:dyDescent="0.25">
      <c r="A40" s="20">
        <v>2018</v>
      </c>
      <c r="B40" s="61">
        <v>13</v>
      </c>
      <c r="C40" s="169" t="s">
        <v>214</v>
      </c>
      <c r="D40" s="46">
        <v>86</v>
      </c>
      <c r="E40" s="53">
        <v>83</v>
      </c>
      <c r="F40" s="53">
        <v>7200</v>
      </c>
      <c r="G40" s="48">
        <v>62</v>
      </c>
      <c r="H40" s="160"/>
      <c r="I40" s="47">
        <v>83</v>
      </c>
      <c r="J40" s="53">
        <v>79</v>
      </c>
      <c r="K40" s="53">
        <v>6850</v>
      </c>
      <c r="L40" s="62">
        <v>60</v>
      </c>
      <c r="M40" s="160"/>
      <c r="N40" s="47">
        <v>70</v>
      </c>
      <c r="O40" s="53">
        <v>67</v>
      </c>
      <c r="P40" s="48">
        <v>75.2</v>
      </c>
      <c r="Q40" s="160"/>
      <c r="R40" s="46">
        <v>63</v>
      </c>
      <c r="S40" s="53">
        <v>64</v>
      </c>
      <c r="T40" s="62">
        <v>5100</v>
      </c>
    </row>
    <row r="41" spans="1:20" ht="15.75" thickBot="1" x14ac:dyDescent="0.3">
      <c r="A41" s="55">
        <v>2019</v>
      </c>
      <c r="B41" s="59">
        <v>13</v>
      </c>
      <c r="C41" s="170" t="s">
        <v>274</v>
      </c>
      <c r="D41" s="49">
        <v>86.2</v>
      </c>
      <c r="E41" s="50">
        <v>83.5</v>
      </c>
      <c r="F41" s="50">
        <v>7200</v>
      </c>
      <c r="G41" s="52">
        <v>65</v>
      </c>
      <c r="H41" s="160"/>
      <c r="I41" s="51">
        <v>83.2</v>
      </c>
      <c r="J41" s="50">
        <v>79.2</v>
      </c>
      <c r="K41" s="50">
        <v>6850</v>
      </c>
      <c r="L41" s="60">
        <v>65</v>
      </c>
      <c r="M41" s="160"/>
      <c r="N41" s="51">
        <v>72</v>
      </c>
      <c r="O41" s="50">
        <v>67.2</v>
      </c>
      <c r="P41" s="52">
        <v>75.5</v>
      </c>
      <c r="Q41" s="160"/>
      <c r="R41" s="49">
        <v>63.2</v>
      </c>
      <c r="S41" s="50">
        <v>64.2</v>
      </c>
      <c r="T41" s="60">
        <v>5100</v>
      </c>
    </row>
    <row r="42" spans="1:20" x14ac:dyDescent="0.25">
      <c r="A42" s="56">
        <v>2017</v>
      </c>
      <c r="B42" s="65">
        <v>14</v>
      </c>
      <c r="C42" s="161" t="s">
        <v>199</v>
      </c>
      <c r="D42" s="162">
        <v>89</v>
      </c>
      <c r="E42" s="163">
        <v>85</v>
      </c>
      <c r="F42" s="164">
        <v>7850</v>
      </c>
      <c r="G42" s="88"/>
      <c r="H42" s="160"/>
      <c r="I42" s="163">
        <v>83</v>
      </c>
      <c r="J42" s="163">
        <v>79</v>
      </c>
      <c r="K42" s="164">
        <v>6850</v>
      </c>
      <c r="L42" s="89"/>
      <c r="M42" s="160"/>
      <c r="N42" s="163">
        <v>76</v>
      </c>
      <c r="O42" s="163">
        <v>69</v>
      </c>
      <c r="P42" s="88"/>
      <c r="Q42" s="160"/>
      <c r="R42" s="163">
        <v>64</v>
      </c>
      <c r="S42" s="163">
        <v>66</v>
      </c>
      <c r="T42" s="164">
        <v>4850</v>
      </c>
    </row>
    <row r="43" spans="1:20" x14ac:dyDescent="0.25">
      <c r="A43" s="22">
        <v>2018</v>
      </c>
      <c r="B43" s="65">
        <v>14</v>
      </c>
      <c r="C43" s="171" t="s">
        <v>215</v>
      </c>
      <c r="D43" s="19">
        <v>89</v>
      </c>
      <c r="E43" s="17">
        <v>85</v>
      </c>
      <c r="F43" s="17">
        <v>6850</v>
      </c>
      <c r="G43" s="23">
        <v>62</v>
      </c>
      <c r="H43" s="160"/>
      <c r="I43" s="18">
        <v>90</v>
      </c>
      <c r="J43" s="17">
        <v>85</v>
      </c>
      <c r="K43" s="17">
        <v>6850</v>
      </c>
      <c r="L43" s="64">
        <v>68</v>
      </c>
      <c r="M43" s="160"/>
      <c r="N43" s="18">
        <v>84</v>
      </c>
      <c r="O43" s="17">
        <v>79</v>
      </c>
      <c r="P43" s="23">
        <v>86</v>
      </c>
      <c r="Q43" s="160"/>
      <c r="R43" s="19">
        <v>66</v>
      </c>
      <c r="S43" s="17">
        <v>64</v>
      </c>
      <c r="T43" s="64">
        <v>4850</v>
      </c>
    </row>
    <row r="44" spans="1:20" ht="15.75" thickBot="1" x14ac:dyDescent="0.3">
      <c r="A44" s="55">
        <v>2019</v>
      </c>
      <c r="B44" s="65">
        <v>14</v>
      </c>
      <c r="C44" s="171" t="s">
        <v>273</v>
      </c>
      <c r="D44" s="41">
        <v>89.2</v>
      </c>
      <c r="E44" s="42">
        <v>85.5</v>
      </c>
      <c r="F44" s="42">
        <v>6850</v>
      </c>
      <c r="G44" s="44">
        <v>65</v>
      </c>
      <c r="H44" s="160"/>
      <c r="I44" s="43">
        <v>90.2</v>
      </c>
      <c r="J44" s="42">
        <v>85.2</v>
      </c>
      <c r="K44" s="42">
        <v>6850</v>
      </c>
      <c r="L44" s="63">
        <v>68.2</v>
      </c>
      <c r="M44" s="160"/>
      <c r="N44" s="43">
        <v>84.5</v>
      </c>
      <c r="O44" s="42">
        <v>79.2</v>
      </c>
      <c r="P44" s="44">
        <v>86.3</v>
      </c>
      <c r="Q44" s="160"/>
      <c r="R44" s="41">
        <v>66.2</v>
      </c>
      <c r="S44" s="42">
        <v>64.2</v>
      </c>
      <c r="T44" s="63">
        <v>4850</v>
      </c>
    </row>
    <row r="45" spans="1:20" ht="15.75" thickBot="1" x14ac:dyDescent="0.3">
      <c r="A45" s="56">
        <v>2017</v>
      </c>
      <c r="B45" s="65">
        <v>15</v>
      </c>
      <c r="C45" s="161" t="s">
        <v>200</v>
      </c>
      <c r="D45" s="162">
        <v>89</v>
      </c>
      <c r="E45" s="163">
        <v>85</v>
      </c>
      <c r="F45" s="164">
        <v>7850</v>
      </c>
      <c r="G45" s="88"/>
      <c r="H45" s="160"/>
      <c r="I45" s="163">
        <v>83</v>
      </c>
      <c r="J45" s="163">
        <v>79</v>
      </c>
      <c r="K45" s="164">
        <v>6850</v>
      </c>
      <c r="L45" s="89"/>
      <c r="M45" s="160"/>
      <c r="N45" s="163">
        <v>76</v>
      </c>
      <c r="O45" s="163">
        <v>69</v>
      </c>
      <c r="P45" s="88"/>
      <c r="Q45" s="160"/>
      <c r="R45" s="163">
        <v>64</v>
      </c>
      <c r="S45" s="163">
        <v>66</v>
      </c>
      <c r="T45" s="164">
        <v>4850</v>
      </c>
    </row>
    <row r="46" spans="1:20" x14ac:dyDescent="0.25">
      <c r="A46" s="20">
        <v>2018</v>
      </c>
      <c r="B46" s="61">
        <v>15</v>
      </c>
      <c r="C46" s="169" t="s">
        <v>216</v>
      </c>
      <c r="D46" s="46">
        <v>90</v>
      </c>
      <c r="E46" s="53">
        <v>83</v>
      </c>
      <c r="F46" s="53">
        <v>6850</v>
      </c>
      <c r="G46" s="48">
        <v>62</v>
      </c>
      <c r="H46" s="160"/>
      <c r="I46" s="47">
        <v>84</v>
      </c>
      <c r="J46" s="53">
        <v>79</v>
      </c>
      <c r="K46" s="53">
        <v>6850</v>
      </c>
      <c r="L46" s="62">
        <v>68</v>
      </c>
      <c r="M46" s="160"/>
      <c r="N46" s="47">
        <v>75</v>
      </c>
      <c r="O46" s="53">
        <v>69</v>
      </c>
      <c r="P46" s="48">
        <v>75.2</v>
      </c>
      <c r="Q46" s="160"/>
      <c r="R46" s="46">
        <v>68</v>
      </c>
      <c r="S46" s="53">
        <v>65</v>
      </c>
      <c r="T46" s="62">
        <v>4850</v>
      </c>
    </row>
    <row r="47" spans="1:20" ht="15.75" thickBot="1" x14ac:dyDescent="0.3">
      <c r="A47" s="55">
        <v>2019</v>
      </c>
      <c r="B47" s="59">
        <v>15</v>
      </c>
      <c r="C47" s="170" t="s">
        <v>272</v>
      </c>
      <c r="D47" s="49">
        <v>90.2</v>
      </c>
      <c r="E47" s="50">
        <v>83.5</v>
      </c>
      <c r="F47" s="50">
        <v>6850</v>
      </c>
      <c r="G47" s="52">
        <v>65</v>
      </c>
      <c r="H47" s="160"/>
      <c r="I47" s="51">
        <v>84.2</v>
      </c>
      <c r="J47" s="50">
        <v>92.2</v>
      </c>
      <c r="K47" s="50">
        <v>6850</v>
      </c>
      <c r="L47" s="60">
        <v>68.2</v>
      </c>
      <c r="M47" s="160"/>
      <c r="N47" s="51">
        <v>75.5</v>
      </c>
      <c r="O47" s="50">
        <v>69.2</v>
      </c>
      <c r="P47" s="52">
        <v>75.5</v>
      </c>
      <c r="Q47" s="160"/>
      <c r="R47" s="49">
        <v>68.2</v>
      </c>
      <c r="S47" s="50">
        <v>65.2</v>
      </c>
      <c r="T47" s="60">
        <v>4850</v>
      </c>
    </row>
    <row r="48" spans="1:20" ht="15.75" thickBot="1" x14ac:dyDescent="0.3">
      <c r="A48" s="56">
        <v>2017</v>
      </c>
      <c r="B48" s="65">
        <v>16</v>
      </c>
      <c r="C48" s="161" t="s">
        <v>201</v>
      </c>
      <c r="D48" s="162">
        <v>89</v>
      </c>
      <c r="E48" s="163">
        <v>85</v>
      </c>
      <c r="F48" s="164">
        <v>7850</v>
      </c>
      <c r="G48" s="88"/>
      <c r="H48" s="160"/>
      <c r="I48" s="163">
        <v>83</v>
      </c>
      <c r="J48" s="163">
        <v>79</v>
      </c>
      <c r="K48" s="164">
        <v>6850</v>
      </c>
      <c r="L48" s="89"/>
      <c r="M48" s="160"/>
      <c r="N48" s="163">
        <v>75</v>
      </c>
      <c r="O48" s="163">
        <v>69</v>
      </c>
      <c r="P48" s="88"/>
      <c r="Q48" s="160"/>
      <c r="R48" s="163">
        <v>64</v>
      </c>
      <c r="S48" s="163">
        <v>60</v>
      </c>
      <c r="T48" s="164">
        <v>4850</v>
      </c>
    </row>
    <row r="49" spans="1:20" x14ac:dyDescent="0.25">
      <c r="A49" s="20">
        <v>2018</v>
      </c>
      <c r="B49" s="61">
        <v>16</v>
      </c>
      <c r="C49" s="169" t="s">
        <v>217</v>
      </c>
      <c r="D49" s="46">
        <v>90</v>
      </c>
      <c r="E49" s="53">
        <v>83</v>
      </c>
      <c r="F49" s="53">
        <v>8000</v>
      </c>
      <c r="G49" s="48">
        <v>87</v>
      </c>
      <c r="H49" s="160"/>
      <c r="I49" s="47">
        <v>88</v>
      </c>
      <c r="J49" s="53">
        <v>83</v>
      </c>
      <c r="K49" s="53">
        <v>7100</v>
      </c>
      <c r="L49" s="62">
        <v>87</v>
      </c>
      <c r="M49" s="160"/>
      <c r="N49" s="47">
        <v>77</v>
      </c>
      <c r="O49" s="53">
        <v>70</v>
      </c>
      <c r="P49" s="48">
        <v>90</v>
      </c>
      <c r="Q49" s="160"/>
      <c r="R49" s="46">
        <v>65</v>
      </c>
      <c r="S49" s="53">
        <v>64</v>
      </c>
      <c r="T49" s="62">
        <v>5000</v>
      </c>
    </row>
    <row r="50" spans="1:20" ht="15.75" thickBot="1" x14ac:dyDescent="0.3">
      <c r="A50" s="55">
        <v>2019</v>
      </c>
      <c r="B50" s="59">
        <v>16</v>
      </c>
      <c r="C50" s="170" t="s">
        <v>271</v>
      </c>
      <c r="D50" s="49">
        <v>90.2</v>
      </c>
      <c r="E50" s="50">
        <v>83.5</v>
      </c>
      <c r="F50" s="50">
        <v>8000</v>
      </c>
      <c r="G50" s="52">
        <v>87.5</v>
      </c>
      <c r="H50" s="160"/>
      <c r="I50" s="51">
        <v>88.2</v>
      </c>
      <c r="J50" s="50">
        <v>83.2</v>
      </c>
      <c r="K50" s="50">
        <v>7100</v>
      </c>
      <c r="L50" s="60">
        <v>87.5</v>
      </c>
      <c r="M50" s="160"/>
      <c r="N50" s="51">
        <v>77.5</v>
      </c>
      <c r="O50" s="50">
        <v>70.2</v>
      </c>
      <c r="P50" s="52">
        <v>90.3</v>
      </c>
      <c r="Q50" s="160"/>
      <c r="R50" s="49">
        <v>65.2</v>
      </c>
      <c r="S50" s="50">
        <v>64.2</v>
      </c>
      <c r="T50" s="60">
        <v>5000</v>
      </c>
    </row>
    <row r="51" spans="1:20" x14ac:dyDescent="0.25">
      <c r="A51" s="56">
        <v>2017</v>
      </c>
      <c r="B51" s="65">
        <v>17</v>
      </c>
      <c r="C51" s="161" t="s">
        <v>202</v>
      </c>
      <c r="D51" s="162">
        <v>75</v>
      </c>
      <c r="E51" s="163">
        <v>75</v>
      </c>
      <c r="F51" s="164">
        <v>7144</v>
      </c>
      <c r="G51" s="88"/>
      <c r="H51" s="160"/>
      <c r="I51" s="163">
        <v>75</v>
      </c>
      <c r="J51" s="163">
        <v>75</v>
      </c>
      <c r="K51" s="164">
        <v>6850</v>
      </c>
      <c r="L51" s="89"/>
      <c r="M51" s="160"/>
      <c r="N51" s="163">
        <v>76</v>
      </c>
      <c r="O51" s="163">
        <v>69</v>
      </c>
      <c r="P51" s="88"/>
      <c r="Q51" s="160"/>
      <c r="R51" s="163">
        <v>64</v>
      </c>
      <c r="S51" s="163">
        <v>64</v>
      </c>
      <c r="T51" s="164">
        <v>4850</v>
      </c>
    </row>
    <row r="52" spans="1:20" x14ac:dyDescent="0.25">
      <c r="A52" s="22">
        <v>2018</v>
      </c>
      <c r="B52" s="65">
        <v>17</v>
      </c>
      <c r="C52" s="171" t="s">
        <v>218</v>
      </c>
      <c r="D52" s="19">
        <v>85</v>
      </c>
      <c r="E52" s="17">
        <v>82.5</v>
      </c>
      <c r="F52" s="17">
        <v>6850</v>
      </c>
      <c r="G52" s="23">
        <v>63</v>
      </c>
      <c r="H52" s="160"/>
      <c r="I52" s="18">
        <v>83</v>
      </c>
      <c r="J52" s="17">
        <v>79</v>
      </c>
      <c r="K52" s="17">
        <v>6850</v>
      </c>
      <c r="L52" s="64">
        <v>68</v>
      </c>
      <c r="M52" s="160"/>
      <c r="N52" s="18">
        <v>75</v>
      </c>
      <c r="O52" s="17">
        <v>69</v>
      </c>
      <c r="P52" s="23">
        <v>75.2</v>
      </c>
      <c r="Q52" s="160"/>
      <c r="R52" s="19">
        <v>62</v>
      </c>
      <c r="S52" s="17">
        <v>64</v>
      </c>
      <c r="T52" s="64">
        <v>4750</v>
      </c>
    </row>
    <row r="53" spans="1:20" ht="15.75" thickBot="1" x14ac:dyDescent="0.3">
      <c r="A53" s="56">
        <v>2019</v>
      </c>
      <c r="B53" s="65">
        <v>17</v>
      </c>
      <c r="C53" s="171" t="s">
        <v>270</v>
      </c>
      <c r="D53" s="41">
        <v>85.2</v>
      </c>
      <c r="E53" s="42">
        <v>83</v>
      </c>
      <c r="F53" s="42">
        <v>6900</v>
      </c>
      <c r="G53" s="44">
        <v>65</v>
      </c>
      <c r="H53" s="160"/>
      <c r="I53" s="43">
        <v>83</v>
      </c>
      <c r="J53" s="42">
        <v>79</v>
      </c>
      <c r="K53" s="42">
        <v>6900</v>
      </c>
      <c r="L53" s="63">
        <v>68</v>
      </c>
      <c r="M53" s="160"/>
      <c r="N53" s="43">
        <v>75.5</v>
      </c>
      <c r="O53" s="42">
        <v>69.2</v>
      </c>
      <c r="P53" s="44">
        <v>75.5</v>
      </c>
      <c r="Q53" s="160"/>
      <c r="R53" s="41">
        <v>62</v>
      </c>
      <c r="S53" s="42">
        <v>64.2</v>
      </c>
      <c r="T53" s="63">
        <v>4800</v>
      </c>
    </row>
    <row r="54" spans="1:20" ht="15.75" thickBot="1" x14ac:dyDescent="0.3">
      <c r="A54" s="56">
        <v>2017</v>
      </c>
      <c r="B54" s="65">
        <v>18</v>
      </c>
      <c r="C54" s="161" t="s">
        <v>203</v>
      </c>
      <c r="D54" s="162">
        <v>89</v>
      </c>
      <c r="E54" s="163">
        <v>85</v>
      </c>
      <c r="F54" s="164">
        <v>7850</v>
      </c>
      <c r="G54" s="88"/>
      <c r="H54" s="160"/>
      <c r="I54" s="163">
        <v>83</v>
      </c>
      <c r="J54" s="163">
        <v>79</v>
      </c>
      <c r="K54" s="164">
        <v>6850</v>
      </c>
      <c r="L54" s="89"/>
      <c r="M54" s="160"/>
      <c r="N54" s="163">
        <v>76</v>
      </c>
      <c r="O54" s="163">
        <v>69</v>
      </c>
      <c r="P54" s="88"/>
      <c r="Q54" s="160"/>
      <c r="R54" s="163">
        <v>64</v>
      </c>
      <c r="S54" s="163">
        <v>66</v>
      </c>
      <c r="T54" s="164">
        <v>4850</v>
      </c>
    </row>
    <row r="55" spans="1:20" x14ac:dyDescent="0.25">
      <c r="A55" s="20">
        <v>2018</v>
      </c>
      <c r="B55" s="61">
        <v>18</v>
      </c>
      <c r="C55" s="169" t="s">
        <v>219</v>
      </c>
      <c r="D55" s="46">
        <v>90</v>
      </c>
      <c r="E55" s="53">
        <v>91</v>
      </c>
      <c r="F55" s="53">
        <v>9300</v>
      </c>
      <c r="G55" s="48">
        <v>81</v>
      </c>
      <c r="H55" s="160"/>
      <c r="I55" s="47">
        <v>88</v>
      </c>
      <c r="J55" s="53">
        <v>86</v>
      </c>
      <c r="K55" s="53">
        <v>7200</v>
      </c>
      <c r="L55" s="62">
        <v>68</v>
      </c>
      <c r="M55" s="160"/>
      <c r="N55" s="47">
        <v>75</v>
      </c>
      <c r="O55" s="53">
        <v>73</v>
      </c>
      <c r="P55" s="48">
        <v>75.2</v>
      </c>
      <c r="Q55" s="160"/>
      <c r="R55" s="46">
        <v>63</v>
      </c>
      <c r="S55" s="53">
        <v>64</v>
      </c>
      <c r="T55" s="62">
        <v>4850</v>
      </c>
    </row>
    <row r="56" spans="1:20" ht="15.75" thickBot="1" x14ac:dyDescent="0.3">
      <c r="A56" s="55">
        <v>2019</v>
      </c>
      <c r="B56" s="59">
        <v>18</v>
      </c>
      <c r="C56" s="170" t="s">
        <v>269</v>
      </c>
      <c r="D56" s="49">
        <v>90.2</v>
      </c>
      <c r="E56" s="50">
        <v>91.2</v>
      </c>
      <c r="F56" s="50">
        <v>9300</v>
      </c>
      <c r="G56" s="52">
        <v>84</v>
      </c>
      <c r="H56" s="160"/>
      <c r="I56" s="51">
        <v>88.2</v>
      </c>
      <c r="J56" s="50">
        <v>86.2</v>
      </c>
      <c r="K56" s="50">
        <v>7200</v>
      </c>
      <c r="L56" s="60">
        <v>68.2</v>
      </c>
      <c r="M56" s="160"/>
      <c r="N56" s="51">
        <v>75.5</v>
      </c>
      <c r="O56" s="50">
        <v>73.2</v>
      </c>
      <c r="P56" s="52">
        <v>75.5</v>
      </c>
      <c r="Q56" s="160"/>
      <c r="R56" s="49">
        <v>63.2</v>
      </c>
      <c r="S56" s="50">
        <v>64.2</v>
      </c>
      <c r="T56" s="60">
        <v>4850</v>
      </c>
    </row>
    <row r="57" spans="1:20" x14ac:dyDescent="0.25">
      <c r="A57" s="56">
        <v>2017</v>
      </c>
      <c r="B57" s="65">
        <v>19</v>
      </c>
      <c r="C57" s="161" t="s">
        <v>204</v>
      </c>
      <c r="D57" s="162">
        <v>89</v>
      </c>
      <c r="E57" s="163">
        <v>85</v>
      </c>
      <c r="F57" s="164">
        <v>7850</v>
      </c>
      <c r="G57" s="88"/>
      <c r="H57" s="160"/>
      <c r="I57" s="163">
        <v>83</v>
      </c>
      <c r="J57" s="163">
        <v>79</v>
      </c>
      <c r="K57" s="164">
        <v>6850</v>
      </c>
      <c r="L57" s="89"/>
      <c r="M57" s="160"/>
      <c r="N57" s="163">
        <v>76</v>
      </c>
      <c r="O57" s="163">
        <v>69</v>
      </c>
      <c r="P57" s="88"/>
      <c r="Q57" s="160"/>
      <c r="R57" s="163">
        <v>64</v>
      </c>
      <c r="S57" s="163">
        <v>63.5</v>
      </c>
      <c r="T57" s="164">
        <v>4850</v>
      </c>
    </row>
    <row r="58" spans="1:20" x14ac:dyDescent="0.25">
      <c r="A58" s="22">
        <v>2018</v>
      </c>
      <c r="B58" s="65">
        <v>19</v>
      </c>
      <c r="C58" s="171" t="s">
        <v>220</v>
      </c>
      <c r="D58" s="19">
        <v>87</v>
      </c>
      <c r="E58" s="17">
        <v>82.5</v>
      </c>
      <c r="F58" s="17">
        <v>7200</v>
      </c>
      <c r="G58" s="23">
        <v>85</v>
      </c>
      <c r="H58" s="160"/>
      <c r="I58" s="18">
        <v>83</v>
      </c>
      <c r="J58" s="17">
        <v>79</v>
      </c>
      <c r="K58" s="17">
        <v>6850</v>
      </c>
      <c r="L58" s="64">
        <v>80</v>
      </c>
      <c r="M58" s="160"/>
      <c r="N58" s="18">
        <v>84</v>
      </c>
      <c r="O58" s="17">
        <v>80</v>
      </c>
      <c r="P58" s="23">
        <v>85</v>
      </c>
      <c r="Q58" s="160"/>
      <c r="R58" s="19">
        <v>62</v>
      </c>
      <c r="S58" s="17">
        <v>64</v>
      </c>
      <c r="T58" s="64">
        <v>4850</v>
      </c>
    </row>
    <row r="59" spans="1:20" ht="15.75" thickBot="1" x14ac:dyDescent="0.3">
      <c r="A59" s="56">
        <v>2019</v>
      </c>
      <c r="B59" s="65">
        <v>19</v>
      </c>
      <c r="C59" s="171" t="s">
        <v>268</v>
      </c>
      <c r="D59" s="41">
        <v>87.2</v>
      </c>
      <c r="E59" s="42">
        <v>83</v>
      </c>
      <c r="F59" s="42">
        <v>7250</v>
      </c>
      <c r="G59" s="44">
        <v>88</v>
      </c>
      <c r="H59" s="160"/>
      <c r="I59" s="43">
        <v>83.2</v>
      </c>
      <c r="J59" s="42">
        <v>79.2</v>
      </c>
      <c r="K59" s="42">
        <v>6850</v>
      </c>
      <c r="L59" s="63">
        <v>80.2</v>
      </c>
      <c r="M59" s="160"/>
      <c r="N59" s="43">
        <v>84.5</v>
      </c>
      <c r="O59" s="42">
        <v>80.2</v>
      </c>
      <c r="P59" s="44">
        <v>85.3</v>
      </c>
      <c r="Q59" s="160"/>
      <c r="R59" s="41">
        <v>62.2</v>
      </c>
      <c r="S59" s="42">
        <v>64.2</v>
      </c>
      <c r="T59" s="63">
        <v>4850</v>
      </c>
    </row>
    <row r="60" spans="1:20" ht="15.75" thickBot="1" x14ac:dyDescent="0.3">
      <c r="A60" s="56">
        <v>2017</v>
      </c>
      <c r="B60" s="65">
        <v>20</v>
      </c>
      <c r="C60" s="161" t="s">
        <v>205</v>
      </c>
      <c r="D60" s="162">
        <v>86</v>
      </c>
      <c r="E60" s="163">
        <v>84</v>
      </c>
      <c r="F60" s="164">
        <v>7850</v>
      </c>
      <c r="G60" s="88"/>
      <c r="H60" s="160"/>
      <c r="I60" s="163">
        <v>75</v>
      </c>
      <c r="J60" s="163">
        <v>77</v>
      </c>
      <c r="K60" s="164">
        <v>6850</v>
      </c>
      <c r="L60" s="89"/>
      <c r="M60" s="160"/>
      <c r="N60" s="163">
        <v>76</v>
      </c>
      <c r="O60" s="163">
        <v>69</v>
      </c>
      <c r="P60" s="88"/>
      <c r="Q60" s="160"/>
      <c r="R60" s="163">
        <v>64</v>
      </c>
      <c r="S60" s="163">
        <v>60</v>
      </c>
      <c r="T60" s="164">
        <v>4850</v>
      </c>
    </row>
    <row r="61" spans="1:20" x14ac:dyDescent="0.25">
      <c r="A61" s="20">
        <v>2018</v>
      </c>
      <c r="B61" s="61">
        <v>20</v>
      </c>
      <c r="C61" s="169" t="s">
        <v>221</v>
      </c>
      <c r="D61" s="46">
        <v>85</v>
      </c>
      <c r="E61" s="53">
        <v>82.5</v>
      </c>
      <c r="F61" s="53">
        <v>7000</v>
      </c>
      <c r="G61" s="48">
        <v>63</v>
      </c>
      <c r="H61" s="160"/>
      <c r="I61" s="47">
        <v>81</v>
      </c>
      <c r="J61" s="53">
        <v>78</v>
      </c>
      <c r="K61" s="53">
        <v>6700</v>
      </c>
      <c r="L61" s="62">
        <v>65</v>
      </c>
      <c r="M61" s="160"/>
      <c r="N61" s="47">
        <v>75</v>
      </c>
      <c r="O61" s="53">
        <v>69</v>
      </c>
      <c r="P61" s="48">
        <v>75.2</v>
      </c>
      <c r="Q61" s="160"/>
      <c r="R61" s="46">
        <v>63</v>
      </c>
      <c r="S61" s="53">
        <v>62</v>
      </c>
      <c r="T61" s="62">
        <v>4850</v>
      </c>
    </row>
    <row r="62" spans="1:20" ht="15.75" thickBot="1" x14ac:dyDescent="0.3">
      <c r="A62" s="55">
        <v>2019</v>
      </c>
      <c r="B62" s="59">
        <v>20</v>
      </c>
      <c r="C62" s="170" t="s">
        <v>267</v>
      </c>
      <c r="D62" s="49">
        <v>85.2</v>
      </c>
      <c r="E62" s="50">
        <v>83</v>
      </c>
      <c r="F62" s="50">
        <v>7000</v>
      </c>
      <c r="G62" s="52">
        <v>66</v>
      </c>
      <c r="H62" s="160"/>
      <c r="I62" s="51">
        <v>82</v>
      </c>
      <c r="J62" s="50">
        <v>79</v>
      </c>
      <c r="K62" s="50">
        <v>6850</v>
      </c>
      <c r="L62" s="60">
        <v>68</v>
      </c>
      <c r="M62" s="160"/>
      <c r="N62" s="51">
        <v>75.5</v>
      </c>
      <c r="O62" s="50">
        <v>69.2</v>
      </c>
      <c r="P62" s="52">
        <v>75.5</v>
      </c>
      <c r="Q62" s="160"/>
      <c r="R62" s="49">
        <v>63.2</v>
      </c>
      <c r="S62" s="50">
        <v>64</v>
      </c>
      <c r="T62" s="60">
        <v>5000</v>
      </c>
    </row>
    <row r="63" spans="1:20" x14ac:dyDescent="0.25">
      <c r="A63" s="56">
        <v>2017</v>
      </c>
      <c r="B63" s="65">
        <v>21</v>
      </c>
      <c r="C63" s="161" t="s">
        <v>206</v>
      </c>
      <c r="D63" s="162">
        <v>82</v>
      </c>
      <c r="E63" s="163">
        <v>78</v>
      </c>
      <c r="F63" s="164">
        <v>7850</v>
      </c>
      <c r="G63" s="88"/>
      <c r="H63" s="160"/>
      <c r="I63" s="163">
        <v>70</v>
      </c>
      <c r="J63" s="163">
        <v>74</v>
      </c>
      <c r="K63" s="164">
        <v>6850</v>
      </c>
      <c r="L63" s="89"/>
      <c r="M63" s="160"/>
      <c r="N63" s="163">
        <v>72</v>
      </c>
      <c r="O63" s="163">
        <v>69</v>
      </c>
      <c r="P63" s="88"/>
      <c r="Q63" s="160"/>
      <c r="R63" s="163">
        <v>64</v>
      </c>
      <c r="S63" s="163">
        <v>63</v>
      </c>
      <c r="T63" s="164">
        <v>4850</v>
      </c>
    </row>
    <row r="64" spans="1:20" x14ac:dyDescent="0.25">
      <c r="A64" s="22">
        <v>2018</v>
      </c>
      <c r="B64" s="65">
        <v>21</v>
      </c>
      <c r="C64" s="171" t="s">
        <v>222</v>
      </c>
      <c r="D64" s="19">
        <v>83</v>
      </c>
      <c r="E64" s="17">
        <v>80</v>
      </c>
      <c r="F64" s="17">
        <v>9000</v>
      </c>
      <c r="G64" s="23">
        <v>70</v>
      </c>
      <c r="H64" s="160"/>
      <c r="I64" s="18">
        <v>77</v>
      </c>
      <c r="J64" s="17">
        <v>75</v>
      </c>
      <c r="K64" s="17">
        <v>8000</v>
      </c>
      <c r="L64" s="64">
        <v>71</v>
      </c>
      <c r="M64" s="160"/>
      <c r="N64" s="18">
        <v>70</v>
      </c>
      <c r="O64" s="17">
        <v>69</v>
      </c>
      <c r="P64" s="23">
        <v>72</v>
      </c>
      <c r="Q64" s="160"/>
      <c r="R64" s="19">
        <v>64</v>
      </c>
      <c r="S64" s="17">
        <v>63</v>
      </c>
      <c r="T64" s="64">
        <v>4850</v>
      </c>
    </row>
    <row r="65" spans="1:20" ht="15.75" thickBot="1" x14ac:dyDescent="0.3">
      <c r="A65" s="56">
        <v>2019</v>
      </c>
      <c r="B65" s="65">
        <v>21</v>
      </c>
      <c r="C65" s="171" t="s">
        <v>266</v>
      </c>
      <c r="D65" s="41">
        <v>83.2</v>
      </c>
      <c r="E65" s="42">
        <v>80.5</v>
      </c>
      <c r="F65" s="42">
        <v>9000</v>
      </c>
      <c r="G65" s="44">
        <v>73</v>
      </c>
      <c r="H65" s="160"/>
      <c r="I65" s="43">
        <v>77.2</v>
      </c>
      <c r="J65" s="42">
        <v>75.2</v>
      </c>
      <c r="K65" s="42">
        <v>8000</v>
      </c>
      <c r="L65" s="63">
        <v>71.2</v>
      </c>
      <c r="M65" s="160"/>
      <c r="N65" s="43">
        <v>70.5</v>
      </c>
      <c r="O65" s="42">
        <v>69.2</v>
      </c>
      <c r="P65" s="44">
        <v>72.5</v>
      </c>
      <c r="Q65" s="160"/>
      <c r="R65" s="41">
        <v>64.2</v>
      </c>
      <c r="S65" s="42">
        <v>63.2</v>
      </c>
      <c r="T65" s="63">
        <v>4850</v>
      </c>
    </row>
    <row r="66" spans="1:20" ht="15.75" thickBot="1" x14ac:dyDescent="0.3">
      <c r="A66" s="56">
        <v>2017</v>
      </c>
      <c r="B66" s="65">
        <v>22</v>
      </c>
      <c r="C66" s="161" t="s">
        <v>207</v>
      </c>
      <c r="D66" s="162">
        <v>89</v>
      </c>
      <c r="E66" s="163">
        <v>85</v>
      </c>
      <c r="F66" s="164">
        <v>7850</v>
      </c>
      <c r="G66" s="88"/>
      <c r="H66" s="160"/>
      <c r="I66" s="163">
        <v>83</v>
      </c>
      <c r="J66" s="163">
        <v>79</v>
      </c>
      <c r="K66" s="164">
        <v>6850</v>
      </c>
      <c r="L66" s="89"/>
      <c r="M66" s="160"/>
      <c r="N66" s="163">
        <v>72</v>
      </c>
      <c r="O66" s="163">
        <v>69</v>
      </c>
      <c r="P66" s="88"/>
      <c r="Q66" s="160"/>
      <c r="R66" s="163">
        <v>64</v>
      </c>
      <c r="S66" s="163">
        <v>66</v>
      </c>
      <c r="T66" s="164">
        <v>4850</v>
      </c>
    </row>
    <row r="67" spans="1:20" x14ac:dyDescent="0.25">
      <c r="A67" s="20">
        <v>2018</v>
      </c>
      <c r="B67" s="61">
        <v>22</v>
      </c>
      <c r="C67" s="169" t="s">
        <v>223</v>
      </c>
      <c r="D67" s="46">
        <v>89</v>
      </c>
      <c r="E67" s="53">
        <v>85</v>
      </c>
      <c r="F67" s="53">
        <v>6850</v>
      </c>
      <c r="G67" s="48">
        <v>65</v>
      </c>
      <c r="H67" s="160"/>
      <c r="I67" s="47">
        <v>85</v>
      </c>
      <c r="J67" s="53">
        <v>81</v>
      </c>
      <c r="K67" s="53">
        <v>6850</v>
      </c>
      <c r="L67" s="62">
        <v>70</v>
      </c>
      <c r="M67" s="160"/>
      <c r="N67" s="47">
        <v>77</v>
      </c>
      <c r="O67" s="53">
        <v>69</v>
      </c>
      <c r="P67" s="48">
        <v>75.2</v>
      </c>
      <c r="Q67" s="160"/>
      <c r="R67" s="46">
        <v>64</v>
      </c>
      <c r="S67" s="53">
        <v>66</v>
      </c>
      <c r="T67" s="62">
        <v>5100</v>
      </c>
    </row>
    <row r="68" spans="1:20" ht="15.75" thickBot="1" x14ac:dyDescent="0.3">
      <c r="A68" s="55">
        <v>2019</v>
      </c>
      <c r="B68" s="59">
        <v>22</v>
      </c>
      <c r="C68" s="170" t="s">
        <v>265</v>
      </c>
      <c r="D68" s="49">
        <v>89.2</v>
      </c>
      <c r="E68" s="50">
        <v>85.5</v>
      </c>
      <c r="F68" s="50">
        <v>6850</v>
      </c>
      <c r="G68" s="52">
        <v>66</v>
      </c>
      <c r="H68" s="160"/>
      <c r="I68" s="51">
        <v>85</v>
      </c>
      <c r="J68" s="50">
        <v>81</v>
      </c>
      <c r="K68" s="50">
        <v>6850</v>
      </c>
      <c r="L68" s="60">
        <v>70</v>
      </c>
      <c r="M68" s="160"/>
      <c r="N68" s="51">
        <v>77.5</v>
      </c>
      <c r="O68" s="50">
        <v>69</v>
      </c>
      <c r="P68" s="52">
        <v>75.5</v>
      </c>
      <c r="Q68" s="160"/>
      <c r="R68" s="49">
        <v>64.2</v>
      </c>
      <c r="S68" s="50">
        <v>66.2</v>
      </c>
      <c r="T68" s="60">
        <v>5100</v>
      </c>
    </row>
    <row r="69" spans="1:20" x14ac:dyDescent="0.25">
      <c r="A69" s="56">
        <v>2017</v>
      </c>
      <c r="B69" s="65">
        <v>23</v>
      </c>
      <c r="C69" s="161" t="s">
        <v>208</v>
      </c>
      <c r="D69" s="162">
        <v>89</v>
      </c>
      <c r="E69" s="163">
        <v>85</v>
      </c>
      <c r="F69" s="164">
        <v>7850</v>
      </c>
      <c r="G69" s="88"/>
      <c r="H69" s="160"/>
      <c r="I69" s="163">
        <v>83</v>
      </c>
      <c r="J69" s="163">
        <v>79</v>
      </c>
      <c r="K69" s="164">
        <v>6850</v>
      </c>
      <c r="L69" s="89"/>
      <c r="M69" s="160"/>
      <c r="N69" s="163">
        <v>76</v>
      </c>
      <c r="O69" s="163">
        <v>69</v>
      </c>
      <c r="P69" s="88"/>
      <c r="Q69" s="160"/>
      <c r="R69" s="163">
        <v>64</v>
      </c>
      <c r="S69" s="163">
        <v>66</v>
      </c>
      <c r="T69" s="164">
        <v>4850</v>
      </c>
    </row>
    <row r="70" spans="1:20" x14ac:dyDescent="0.25">
      <c r="A70" s="22">
        <v>2018</v>
      </c>
      <c r="B70" s="65">
        <v>23</v>
      </c>
      <c r="C70" s="171" t="s">
        <v>224</v>
      </c>
      <c r="D70" s="19">
        <v>85</v>
      </c>
      <c r="E70" s="17">
        <v>82.5</v>
      </c>
      <c r="F70" s="17">
        <v>6850</v>
      </c>
      <c r="G70" s="23">
        <v>70</v>
      </c>
      <c r="H70" s="160"/>
      <c r="I70" s="18">
        <v>85</v>
      </c>
      <c r="J70" s="17">
        <v>79</v>
      </c>
      <c r="K70" s="17">
        <v>7500</v>
      </c>
      <c r="L70" s="64">
        <v>73</v>
      </c>
      <c r="M70" s="160"/>
      <c r="N70" s="18">
        <v>76</v>
      </c>
      <c r="O70" s="17">
        <v>71.5</v>
      </c>
      <c r="P70" s="23">
        <v>75.2</v>
      </c>
      <c r="Q70" s="160"/>
      <c r="R70" s="19">
        <v>64</v>
      </c>
      <c r="S70" s="17">
        <v>66</v>
      </c>
      <c r="T70" s="64">
        <v>5200</v>
      </c>
    </row>
    <row r="71" spans="1:20" ht="15.75" thickBot="1" x14ac:dyDescent="0.3">
      <c r="A71" s="56">
        <v>2019</v>
      </c>
      <c r="B71" s="65">
        <v>23</v>
      </c>
      <c r="C71" s="171" t="s">
        <v>264</v>
      </c>
      <c r="D71" s="41">
        <v>85.2</v>
      </c>
      <c r="E71" s="42">
        <v>83</v>
      </c>
      <c r="F71" s="42">
        <v>6850</v>
      </c>
      <c r="G71" s="44">
        <v>73</v>
      </c>
      <c r="H71" s="160"/>
      <c r="I71" s="43">
        <v>85.2</v>
      </c>
      <c r="J71" s="42">
        <v>79.2</v>
      </c>
      <c r="K71" s="42">
        <v>7500</v>
      </c>
      <c r="L71" s="63">
        <v>73.2</v>
      </c>
      <c r="M71" s="160"/>
      <c r="N71" s="43">
        <v>76.5</v>
      </c>
      <c r="O71" s="42">
        <v>71.7</v>
      </c>
      <c r="P71" s="44">
        <v>75.5</v>
      </c>
      <c r="Q71" s="160"/>
      <c r="R71" s="41">
        <v>64.2</v>
      </c>
      <c r="S71" s="42">
        <v>66.2</v>
      </c>
      <c r="T71" s="63">
        <v>5200</v>
      </c>
    </row>
    <row r="72" spans="1:20" ht="15.75" thickBot="1" x14ac:dyDescent="0.3">
      <c r="A72" s="56">
        <v>2017</v>
      </c>
      <c r="B72" s="65">
        <v>24</v>
      </c>
      <c r="C72" s="161" t="s">
        <v>209</v>
      </c>
      <c r="D72" s="162">
        <v>89</v>
      </c>
      <c r="E72" s="163">
        <v>85</v>
      </c>
      <c r="F72" s="164">
        <v>7850</v>
      </c>
      <c r="G72" s="88"/>
      <c r="H72" s="160"/>
      <c r="I72" s="163">
        <v>83</v>
      </c>
      <c r="J72" s="163">
        <v>79</v>
      </c>
      <c r="K72" s="164">
        <v>6850</v>
      </c>
      <c r="L72" s="89"/>
      <c r="M72" s="160"/>
      <c r="N72" s="163">
        <v>76</v>
      </c>
      <c r="O72" s="163">
        <v>69</v>
      </c>
      <c r="P72" s="88"/>
      <c r="Q72" s="160"/>
      <c r="R72" s="163">
        <v>64</v>
      </c>
      <c r="S72" s="163">
        <v>66</v>
      </c>
      <c r="T72" s="164">
        <v>4850</v>
      </c>
    </row>
    <row r="73" spans="1:20" x14ac:dyDescent="0.25">
      <c r="A73" s="20">
        <v>2018</v>
      </c>
      <c r="B73" s="61">
        <v>24</v>
      </c>
      <c r="C73" s="169" t="s">
        <v>225</v>
      </c>
      <c r="D73" s="46">
        <v>89</v>
      </c>
      <c r="E73" s="53">
        <v>85</v>
      </c>
      <c r="F73" s="53">
        <v>7200</v>
      </c>
      <c r="G73" s="48">
        <v>75</v>
      </c>
      <c r="H73" s="160"/>
      <c r="I73" s="47">
        <v>83</v>
      </c>
      <c r="J73" s="53">
        <v>79</v>
      </c>
      <c r="K73" s="53">
        <v>6850</v>
      </c>
      <c r="L73" s="62">
        <v>66</v>
      </c>
      <c r="M73" s="160"/>
      <c r="N73" s="47">
        <v>75</v>
      </c>
      <c r="O73" s="53">
        <v>69</v>
      </c>
      <c r="P73" s="48">
        <v>80</v>
      </c>
      <c r="Q73" s="160"/>
      <c r="R73" s="46">
        <v>65</v>
      </c>
      <c r="S73" s="53">
        <v>66</v>
      </c>
      <c r="T73" s="62">
        <v>4850</v>
      </c>
    </row>
    <row r="74" spans="1:20" x14ac:dyDescent="0.25">
      <c r="A74" s="56">
        <v>2019</v>
      </c>
      <c r="B74" s="65">
        <v>24</v>
      </c>
      <c r="C74" s="171" t="s">
        <v>263</v>
      </c>
      <c r="D74" s="41">
        <v>89.2</v>
      </c>
      <c r="E74" s="42">
        <v>85.5</v>
      </c>
      <c r="F74" s="42">
        <v>7200</v>
      </c>
      <c r="G74" s="44">
        <v>78</v>
      </c>
      <c r="H74" s="160"/>
      <c r="I74" s="43">
        <v>83.2</v>
      </c>
      <c r="J74" s="42">
        <v>79.2</v>
      </c>
      <c r="K74" s="42">
        <v>6850</v>
      </c>
      <c r="L74" s="63">
        <v>68.2</v>
      </c>
      <c r="M74" s="160"/>
      <c r="N74" s="43">
        <v>75.5</v>
      </c>
      <c r="O74" s="42">
        <v>69.2</v>
      </c>
      <c r="P74" s="44">
        <v>80.3</v>
      </c>
      <c r="Q74" s="160"/>
      <c r="R74" s="41">
        <v>65.2</v>
      </c>
      <c r="S74" s="42">
        <v>66.2</v>
      </c>
      <c r="T74" s="63">
        <v>4850</v>
      </c>
    </row>
    <row r="75" spans="1:20" ht="15.75" thickBot="1" x14ac:dyDescent="0.3">
      <c r="A75" s="56">
        <v>2017</v>
      </c>
      <c r="B75" s="65">
        <v>25</v>
      </c>
      <c r="C75" s="171" t="s">
        <v>232</v>
      </c>
      <c r="D75" s="162">
        <v>89</v>
      </c>
      <c r="E75" s="163">
        <v>85</v>
      </c>
      <c r="F75" s="164">
        <v>7850</v>
      </c>
      <c r="G75" s="88"/>
      <c r="H75" s="160"/>
      <c r="I75" s="163">
        <v>83</v>
      </c>
      <c r="J75" s="163">
        <v>79</v>
      </c>
      <c r="K75" s="164">
        <v>6850</v>
      </c>
      <c r="L75" s="89"/>
      <c r="M75" s="160"/>
      <c r="N75" s="163">
        <v>76</v>
      </c>
      <c r="O75" s="163">
        <v>69</v>
      </c>
      <c r="P75" s="88"/>
      <c r="Q75" s="160"/>
      <c r="R75" s="163">
        <v>64</v>
      </c>
      <c r="S75" s="163">
        <v>66</v>
      </c>
      <c r="T75" s="164">
        <v>4850</v>
      </c>
    </row>
    <row r="76" spans="1:20" x14ac:dyDescent="0.25">
      <c r="A76" s="69">
        <v>2018</v>
      </c>
      <c r="B76" s="71">
        <v>25</v>
      </c>
      <c r="C76" s="169" t="s">
        <v>233</v>
      </c>
      <c r="D76" s="172">
        <v>85</v>
      </c>
      <c r="E76" s="173">
        <v>82.5</v>
      </c>
      <c r="F76" s="173">
        <v>6850</v>
      </c>
      <c r="G76" s="174">
        <v>62</v>
      </c>
      <c r="H76" s="175"/>
      <c r="I76" s="176">
        <v>83</v>
      </c>
      <c r="J76" s="173">
        <v>79</v>
      </c>
      <c r="K76" s="173">
        <v>6850</v>
      </c>
      <c r="L76" s="177">
        <v>68</v>
      </c>
      <c r="M76" s="175"/>
      <c r="N76" s="176">
        <v>75</v>
      </c>
      <c r="O76" s="173">
        <v>69</v>
      </c>
      <c r="P76" s="178">
        <v>75.2</v>
      </c>
      <c r="Q76" s="175"/>
      <c r="R76" s="179">
        <v>62</v>
      </c>
      <c r="S76" s="180">
        <v>64</v>
      </c>
      <c r="T76" s="181">
        <v>4850</v>
      </c>
    </row>
    <row r="77" spans="1:20" ht="15.75" thickBot="1" x14ac:dyDescent="0.3">
      <c r="A77" s="70">
        <v>2019</v>
      </c>
      <c r="B77" s="72">
        <v>25</v>
      </c>
      <c r="C77" s="170" t="s">
        <v>259</v>
      </c>
      <c r="D77" s="182">
        <v>85.2</v>
      </c>
      <c r="E77" s="183">
        <v>83</v>
      </c>
      <c r="F77" s="183">
        <v>6850</v>
      </c>
      <c r="G77" s="184">
        <v>65</v>
      </c>
      <c r="H77" s="185"/>
      <c r="I77" s="186">
        <v>83</v>
      </c>
      <c r="J77" s="183">
        <v>79</v>
      </c>
      <c r="K77" s="183">
        <v>6850</v>
      </c>
      <c r="L77" s="187">
        <v>68</v>
      </c>
      <c r="M77" s="185"/>
      <c r="N77" s="186">
        <v>75.5</v>
      </c>
      <c r="O77" s="183">
        <v>69</v>
      </c>
      <c r="P77" s="188">
        <v>75.5</v>
      </c>
      <c r="Q77" s="185"/>
      <c r="R77" s="189">
        <v>62</v>
      </c>
      <c r="S77" s="190">
        <v>64.2</v>
      </c>
      <c r="T77" s="191">
        <v>4850</v>
      </c>
    </row>
  </sheetData>
  <sheetProtection algorithmName="SHA-512" hashValue="IRMb52yk86FkFs40aerTMouOIJzd1DxQ0YYrggiiHkZXNpzM2rXz9Ee1E9CdGAnslEhamk0mayas0bYN7ZFYpg==" saltValue="z0Vl/uCCt6mDj0FttwJby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05" sqref="A205"/>
    </sheetView>
  </sheetViews>
  <sheetFormatPr defaultRowHeight="15" x14ac:dyDescent="0.25"/>
  <cols>
    <col min="1" max="1" width="6" bestFit="1" customWidth="1"/>
    <col min="2" max="2" width="7.140625" bestFit="1" customWidth="1"/>
    <col min="3" max="3" width="11.28515625" customWidth="1"/>
    <col min="4" max="4" width="10.7109375" customWidth="1"/>
    <col min="5" max="5" width="11.5703125" customWidth="1"/>
    <col min="6" max="6" width="9.85546875" customWidth="1"/>
    <col min="7" max="7" width="9.140625" customWidth="1"/>
    <col min="8" max="8" width="10.140625" customWidth="1"/>
    <col min="9" max="9" width="9.7109375" customWidth="1"/>
    <col min="10" max="17" width="17.85546875" customWidth="1"/>
  </cols>
  <sheetData>
    <row r="1" spans="1:18" x14ac:dyDescent="0.25"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</row>
    <row r="2" spans="1:18" ht="60" x14ac:dyDescent="0.25">
      <c r="A2" t="s">
        <v>14</v>
      </c>
      <c r="B2" t="s">
        <v>15</v>
      </c>
      <c r="C2" t="s">
        <v>115</v>
      </c>
      <c r="D2" s="1" t="s">
        <v>16</v>
      </c>
      <c r="E2" s="1" t="s">
        <v>17</v>
      </c>
      <c r="F2" s="1" t="s">
        <v>18</v>
      </c>
      <c r="G2" s="1" t="s">
        <v>19</v>
      </c>
      <c r="H2" s="2" t="s">
        <v>16</v>
      </c>
      <c r="I2" s="2" t="s">
        <v>17</v>
      </c>
      <c r="J2" s="2" t="s">
        <v>18</v>
      </c>
      <c r="K2" s="2" t="s">
        <v>19</v>
      </c>
      <c r="L2" s="3" t="s">
        <v>16</v>
      </c>
      <c r="M2" s="3" t="s">
        <v>17</v>
      </c>
      <c r="N2" s="3" t="s">
        <v>19</v>
      </c>
      <c r="O2" s="4" t="s">
        <v>16</v>
      </c>
      <c r="P2" s="4" t="s">
        <v>17</v>
      </c>
      <c r="Q2" s="4" t="s">
        <v>18</v>
      </c>
      <c r="R2" s="4" t="s">
        <v>258</v>
      </c>
    </row>
    <row r="3" spans="1:18" x14ac:dyDescent="0.25">
      <c r="A3">
        <v>2011</v>
      </c>
      <c r="B3" s="5">
        <v>1</v>
      </c>
      <c r="C3" s="5" t="str">
        <f>B3&amp;"_"&amp;A3</f>
        <v>1_2011</v>
      </c>
      <c r="D3" s="74">
        <f>0.8299*100</f>
        <v>82.99</v>
      </c>
      <c r="E3" s="74">
        <v>63.82</v>
      </c>
      <c r="F3" s="155">
        <v>5325</v>
      </c>
      <c r="G3" s="74">
        <v>88.1</v>
      </c>
      <c r="H3" s="74">
        <v>83.16</v>
      </c>
      <c r="I3" s="74">
        <v>71.52</v>
      </c>
      <c r="J3" s="155">
        <v>6169</v>
      </c>
      <c r="K3" s="74">
        <v>88.539999999999992</v>
      </c>
      <c r="L3" s="74">
        <v>65.169999999999987</v>
      </c>
      <c r="M3" s="74">
        <v>58.14</v>
      </c>
      <c r="N3" s="74">
        <v>56.63</v>
      </c>
      <c r="O3" s="74">
        <v>0</v>
      </c>
      <c r="P3" s="74">
        <v>0</v>
      </c>
      <c r="Q3" s="156">
        <v>0</v>
      </c>
    </row>
    <row r="4" spans="1:18" x14ac:dyDescent="0.25">
      <c r="A4">
        <v>2012</v>
      </c>
      <c r="B4" s="5">
        <v>1</v>
      </c>
      <c r="C4" s="5" t="str">
        <f t="shared" ref="C4:C106" si="0">B4&amp;"_"&amp;A4</f>
        <v>1_2012</v>
      </c>
      <c r="D4" s="74">
        <f>0.8258*100</f>
        <v>82.58</v>
      </c>
      <c r="E4" s="74">
        <v>75.819999999999993</v>
      </c>
      <c r="F4" s="155">
        <v>5407.5</v>
      </c>
      <c r="G4" s="74">
        <v>86.14</v>
      </c>
      <c r="H4" s="74">
        <v>88.24</v>
      </c>
      <c r="I4" s="74">
        <v>82.07</v>
      </c>
      <c r="J4" s="155">
        <v>6139</v>
      </c>
      <c r="K4" s="74">
        <v>92.86</v>
      </c>
      <c r="L4" s="74">
        <v>61.47</v>
      </c>
      <c r="M4" s="74">
        <v>60.919999999999995</v>
      </c>
      <c r="N4" s="74">
        <v>55.559999999999995</v>
      </c>
      <c r="O4" s="74">
        <v>54.169999999999995</v>
      </c>
      <c r="P4" s="74">
        <v>48.29</v>
      </c>
      <c r="Q4" s="155">
        <v>3782</v>
      </c>
    </row>
    <row r="5" spans="1:18" x14ac:dyDescent="0.25">
      <c r="A5">
        <v>2013</v>
      </c>
      <c r="B5" s="5">
        <v>1</v>
      </c>
      <c r="C5" s="5" t="str">
        <f t="shared" si="0"/>
        <v>1_2013</v>
      </c>
      <c r="D5" s="74">
        <f>0.8652*100</f>
        <v>86.52</v>
      </c>
      <c r="E5" s="74">
        <v>76.599999999999994</v>
      </c>
      <c r="F5" s="155">
        <v>5908</v>
      </c>
      <c r="G5" s="74">
        <v>83.59</v>
      </c>
      <c r="H5" s="74">
        <v>85.22999999999999</v>
      </c>
      <c r="I5" s="74">
        <v>80.77</v>
      </c>
      <c r="J5" s="155">
        <v>6960</v>
      </c>
      <c r="K5" s="74">
        <v>91.759999999999991</v>
      </c>
      <c r="L5" s="74">
        <v>77.13</v>
      </c>
      <c r="M5" s="74">
        <v>69.849999999999994</v>
      </c>
      <c r="N5" s="74">
        <v>68.72</v>
      </c>
      <c r="O5" s="74">
        <v>57.06</v>
      </c>
      <c r="P5" s="74">
        <v>54.569999999999993</v>
      </c>
      <c r="Q5" s="155">
        <v>3929</v>
      </c>
    </row>
    <row r="6" spans="1:18" x14ac:dyDescent="0.25">
      <c r="A6">
        <v>2014</v>
      </c>
      <c r="B6" s="5">
        <v>1</v>
      </c>
      <c r="C6" s="5" t="str">
        <f t="shared" si="0"/>
        <v>1_2014</v>
      </c>
      <c r="D6" s="74">
        <f>0.8687*100</f>
        <v>86.87</v>
      </c>
      <c r="E6" s="74">
        <v>79.27</v>
      </c>
      <c r="F6" s="155">
        <v>7691.5</v>
      </c>
      <c r="G6" s="74">
        <v>94.42</v>
      </c>
      <c r="H6" s="74">
        <v>84.48</v>
      </c>
      <c r="I6" s="74">
        <v>86.570000000000007</v>
      </c>
      <c r="J6" s="155">
        <v>8077</v>
      </c>
      <c r="K6" s="74">
        <v>91.23</v>
      </c>
      <c r="L6" s="74">
        <v>76.72</v>
      </c>
      <c r="M6" s="74">
        <v>77.05</v>
      </c>
      <c r="N6" s="74">
        <v>71.679999999999993</v>
      </c>
      <c r="O6" s="74">
        <v>59.68</v>
      </c>
      <c r="P6" s="74">
        <v>57.25</v>
      </c>
      <c r="Q6" s="155">
        <v>4003</v>
      </c>
    </row>
    <row r="7" spans="1:18" x14ac:dyDescent="0.25">
      <c r="A7">
        <v>2015</v>
      </c>
      <c r="B7" s="5">
        <v>1</v>
      </c>
      <c r="C7" s="5" t="str">
        <f t="shared" si="0"/>
        <v>1_2015</v>
      </c>
      <c r="D7" s="74">
        <f>0.883*100</f>
        <v>88.3</v>
      </c>
      <c r="E7" s="74">
        <v>84.02</v>
      </c>
      <c r="F7" s="155">
        <v>7770</v>
      </c>
      <c r="G7" s="74">
        <v>92.66</v>
      </c>
      <c r="H7" s="74">
        <v>84.93</v>
      </c>
      <c r="I7" s="74">
        <v>79.710000000000008</v>
      </c>
      <c r="J7" s="155">
        <v>6512</v>
      </c>
      <c r="K7" s="74">
        <v>95.52000000000001</v>
      </c>
      <c r="L7" s="74">
        <v>78.849999999999994</v>
      </c>
      <c r="M7" s="74">
        <v>72.789999999999992</v>
      </c>
      <c r="N7" s="74">
        <v>76.62</v>
      </c>
      <c r="O7" s="74">
        <v>62.639999999999993</v>
      </c>
      <c r="P7" s="74">
        <v>61.9</v>
      </c>
      <c r="Q7" s="155">
        <v>4299</v>
      </c>
    </row>
    <row r="8" spans="1:18" x14ac:dyDescent="0.25">
      <c r="A8">
        <v>2016</v>
      </c>
      <c r="B8" s="5">
        <v>1</v>
      </c>
      <c r="C8" s="5" t="str">
        <f t="shared" si="0"/>
        <v>1_2016</v>
      </c>
      <c r="D8" s="74">
        <f>0.885593220338983*100</f>
        <v>88.559322033898297</v>
      </c>
      <c r="E8" s="74">
        <v>83.333333333333343</v>
      </c>
      <c r="F8" s="155">
        <v>8089</v>
      </c>
      <c r="G8" s="74">
        <v>0</v>
      </c>
      <c r="H8" s="74">
        <v>81.818181818181827</v>
      </c>
      <c r="I8" s="74">
        <v>83.333333333333343</v>
      </c>
      <c r="J8" s="155">
        <v>7520</v>
      </c>
      <c r="K8" s="74">
        <v>0</v>
      </c>
      <c r="L8" s="74">
        <v>71.551724137931032</v>
      </c>
      <c r="M8" s="74">
        <v>73.780487804878049</v>
      </c>
      <c r="N8" s="74">
        <v>0</v>
      </c>
      <c r="O8" s="74">
        <v>58.4688545764105</v>
      </c>
      <c r="P8" s="74">
        <v>57.477213907955438</v>
      </c>
      <c r="Q8" s="155">
        <v>5012</v>
      </c>
    </row>
    <row r="9" spans="1:18" x14ac:dyDescent="0.25">
      <c r="A9">
        <v>2017</v>
      </c>
      <c r="B9" s="5">
        <v>1</v>
      </c>
      <c r="C9" s="5" t="str">
        <f t="shared" si="0"/>
        <v>1_2017</v>
      </c>
      <c r="D9" s="136">
        <v>92.8</v>
      </c>
      <c r="E9" s="136">
        <v>93.2</v>
      </c>
      <c r="F9" s="136">
        <v>8337</v>
      </c>
      <c r="G9" s="136">
        <v>77.8</v>
      </c>
      <c r="H9" s="136">
        <v>72.2</v>
      </c>
      <c r="I9" s="136">
        <v>75</v>
      </c>
      <c r="J9" s="136">
        <v>7464</v>
      </c>
      <c r="K9" s="136">
        <v>54.5</v>
      </c>
      <c r="L9" s="136">
        <v>89</v>
      </c>
      <c r="M9" s="136">
        <v>81.400000000000006</v>
      </c>
      <c r="N9" s="136">
        <v>92.7</v>
      </c>
      <c r="O9" s="136">
        <v>65.8</v>
      </c>
      <c r="P9" s="136">
        <v>66.400000000000006</v>
      </c>
      <c r="Q9" s="136">
        <v>4645</v>
      </c>
    </row>
    <row r="10" spans="1:18" x14ac:dyDescent="0.25">
      <c r="A10" s="14">
        <v>20181</v>
      </c>
      <c r="B10" s="5">
        <v>1</v>
      </c>
      <c r="C10" s="5" t="str">
        <f t="shared" si="0"/>
        <v>1_20181</v>
      </c>
      <c r="D10" s="74">
        <v>94.53</v>
      </c>
      <c r="E10" s="74">
        <v>94.02</v>
      </c>
      <c r="F10" s="157">
        <v>9079</v>
      </c>
      <c r="G10" s="158">
        <v>81.481000000000009</v>
      </c>
      <c r="H10" s="159">
        <v>70</v>
      </c>
      <c r="I10" s="159">
        <v>76.471000000000004</v>
      </c>
      <c r="J10" s="157">
        <v>7045</v>
      </c>
      <c r="K10" s="158">
        <v>66.667000000000002</v>
      </c>
      <c r="L10" s="159">
        <v>82.715999999999994</v>
      </c>
      <c r="M10" s="159">
        <v>85.914999999999992</v>
      </c>
      <c r="N10" s="159">
        <v>89.85499999999999</v>
      </c>
      <c r="O10" s="159">
        <v>65.5</v>
      </c>
      <c r="P10" s="159">
        <v>65.798999999999992</v>
      </c>
      <c r="Q10" s="157">
        <v>4537</v>
      </c>
    </row>
    <row r="11" spans="1:18" x14ac:dyDescent="0.25">
      <c r="A11">
        <v>2011</v>
      </c>
      <c r="B11" s="6">
        <v>2</v>
      </c>
      <c r="C11" s="5" t="str">
        <f t="shared" si="0"/>
        <v>2_2011</v>
      </c>
      <c r="D11" s="74">
        <f>0.92*100</f>
        <v>92</v>
      </c>
      <c r="E11" s="74">
        <v>91.45</v>
      </c>
      <c r="F11" s="155">
        <v>8306</v>
      </c>
      <c r="G11" s="74">
        <v>91.100000000000009</v>
      </c>
      <c r="H11" s="74">
        <v>89.059999999999988</v>
      </c>
      <c r="I11" s="74">
        <v>82.35</v>
      </c>
      <c r="J11" s="155">
        <v>7308</v>
      </c>
      <c r="K11" s="74">
        <v>95.56</v>
      </c>
      <c r="L11" s="74">
        <v>56.25</v>
      </c>
      <c r="M11" s="74">
        <v>61.539999999999992</v>
      </c>
      <c r="N11" s="74">
        <v>80</v>
      </c>
      <c r="O11" s="74">
        <v>0</v>
      </c>
      <c r="P11" s="74">
        <v>0</v>
      </c>
      <c r="Q11" s="156">
        <v>0</v>
      </c>
    </row>
    <row r="12" spans="1:18" x14ac:dyDescent="0.25">
      <c r="A12">
        <v>2012</v>
      </c>
      <c r="B12" s="6">
        <v>2</v>
      </c>
      <c r="C12" s="5" t="str">
        <f t="shared" si="0"/>
        <v>2_2012</v>
      </c>
      <c r="D12" s="74">
        <f>0.9239*100</f>
        <v>92.39</v>
      </c>
      <c r="E12" s="74">
        <v>86.61</v>
      </c>
      <c r="F12" s="155">
        <v>6902</v>
      </c>
      <c r="G12" s="74">
        <v>83.12</v>
      </c>
      <c r="H12" s="74">
        <v>86.67</v>
      </c>
      <c r="I12" s="74">
        <v>91.84</v>
      </c>
      <c r="J12" s="155">
        <v>7521.5</v>
      </c>
      <c r="K12" s="74">
        <v>78.95</v>
      </c>
      <c r="L12" s="74">
        <v>78.569999999999993</v>
      </c>
      <c r="M12" s="74">
        <v>62.5</v>
      </c>
      <c r="N12" s="74">
        <v>66.67</v>
      </c>
      <c r="O12" s="74">
        <v>58.08</v>
      </c>
      <c r="P12" s="74">
        <v>50.73</v>
      </c>
      <c r="Q12" s="155">
        <v>4461</v>
      </c>
    </row>
    <row r="13" spans="1:18" x14ac:dyDescent="0.25">
      <c r="A13">
        <v>2013</v>
      </c>
      <c r="B13" s="6">
        <v>2</v>
      </c>
      <c r="C13" s="5" t="str">
        <f t="shared" si="0"/>
        <v>2_2013</v>
      </c>
      <c r="D13" s="74">
        <f>0.9487*100</f>
        <v>94.87</v>
      </c>
      <c r="E13" s="74">
        <v>76.83</v>
      </c>
      <c r="F13" s="155">
        <v>8481</v>
      </c>
      <c r="G13" s="74">
        <v>84.43</v>
      </c>
      <c r="H13" s="74">
        <v>91.43</v>
      </c>
      <c r="I13" s="74">
        <v>80.56</v>
      </c>
      <c r="J13" s="155">
        <v>5770</v>
      </c>
      <c r="K13" s="74">
        <v>76.739999999999995</v>
      </c>
      <c r="L13" s="74">
        <v>82.54</v>
      </c>
      <c r="M13" s="74">
        <v>87.5</v>
      </c>
      <c r="N13" s="74">
        <v>82.76</v>
      </c>
      <c r="O13" s="74">
        <v>60.25</v>
      </c>
      <c r="P13" s="74">
        <v>56.830000000000005</v>
      </c>
      <c r="Q13" s="155">
        <v>4500</v>
      </c>
    </row>
    <row r="14" spans="1:18" x14ac:dyDescent="0.25">
      <c r="A14">
        <v>2014</v>
      </c>
      <c r="B14" s="6">
        <v>2</v>
      </c>
      <c r="C14" s="5" t="str">
        <f t="shared" si="0"/>
        <v>2_2014</v>
      </c>
      <c r="D14" s="74">
        <f>0.9851*100</f>
        <v>98.509999999999991</v>
      </c>
      <c r="E14" s="74">
        <v>93.28</v>
      </c>
      <c r="F14" s="155">
        <v>7398</v>
      </c>
      <c r="G14" s="74">
        <v>95.95</v>
      </c>
      <c r="H14" s="74">
        <v>93.75</v>
      </c>
      <c r="I14" s="74">
        <v>92.5</v>
      </c>
      <c r="J14" s="155">
        <v>6528</v>
      </c>
      <c r="K14" s="74">
        <v>95.45</v>
      </c>
      <c r="L14" s="74">
        <v>95.45</v>
      </c>
      <c r="M14" s="74">
        <v>73.209999999999994</v>
      </c>
      <c r="N14" s="74">
        <v>74.42</v>
      </c>
      <c r="O14" s="74">
        <v>61.550000000000004</v>
      </c>
      <c r="P14" s="74">
        <v>60.06</v>
      </c>
      <c r="Q14" s="155">
        <v>4553</v>
      </c>
    </row>
    <row r="15" spans="1:18" x14ac:dyDescent="0.25">
      <c r="A15">
        <v>2015</v>
      </c>
      <c r="B15" s="6">
        <v>2</v>
      </c>
      <c r="C15" s="5" t="str">
        <f t="shared" si="0"/>
        <v>2_2015</v>
      </c>
      <c r="D15" s="74">
        <f>0.8729*100</f>
        <v>87.29</v>
      </c>
      <c r="E15" s="74">
        <v>92</v>
      </c>
      <c r="F15" s="155">
        <v>8848</v>
      </c>
      <c r="G15" s="74">
        <v>91.09</v>
      </c>
      <c r="H15" s="74">
        <v>76</v>
      </c>
      <c r="I15" s="74">
        <v>91.67</v>
      </c>
      <c r="J15" s="155">
        <v>8868</v>
      </c>
      <c r="K15" s="74">
        <v>91.67</v>
      </c>
      <c r="L15" s="74">
        <v>65.63</v>
      </c>
      <c r="M15" s="74">
        <v>81.58</v>
      </c>
      <c r="N15" s="74">
        <v>80</v>
      </c>
      <c r="O15" s="74">
        <v>64.539999999999992</v>
      </c>
      <c r="P15" s="74">
        <v>62.8</v>
      </c>
      <c r="Q15" s="155">
        <v>4776</v>
      </c>
    </row>
    <row r="16" spans="1:18" x14ac:dyDescent="0.25">
      <c r="A16">
        <v>2016</v>
      </c>
      <c r="B16" s="6">
        <v>2</v>
      </c>
      <c r="C16" s="5" t="str">
        <f t="shared" si="0"/>
        <v>2_2016</v>
      </c>
      <c r="D16" s="74">
        <f>0.839285714285714*100</f>
        <v>83.928571428571402</v>
      </c>
      <c r="E16" s="74">
        <v>86.486486486486484</v>
      </c>
      <c r="F16" s="155">
        <v>8986</v>
      </c>
      <c r="G16" s="74">
        <v>0</v>
      </c>
      <c r="H16" s="74">
        <v>74.074074074074076</v>
      </c>
      <c r="I16" s="74">
        <v>73.076923076923066</v>
      </c>
      <c r="J16" s="155">
        <v>8160</v>
      </c>
      <c r="K16" s="74">
        <v>0</v>
      </c>
      <c r="L16" s="74">
        <v>60.9375</v>
      </c>
      <c r="M16" s="74">
        <v>71.875</v>
      </c>
      <c r="N16" s="74">
        <v>0</v>
      </c>
      <c r="O16" s="74">
        <v>60.55736599617935</v>
      </c>
      <c r="P16" s="74">
        <v>56.139342377558052</v>
      </c>
      <c r="Q16" s="155">
        <v>5639</v>
      </c>
    </row>
    <row r="17" spans="1:17" x14ac:dyDescent="0.25">
      <c r="A17">
        <v>2017</v>
      </c>
      <c r="B17" s="6">
        <v>2</v>
      </c>
      <c r="C17" s="5" t="str">
        <f t="shared" si="0"/>
        <v>2_2017</v>
      </c>
      <c r="D17" s="136">
        <v>96.3</v>
      </c>
      <c r="E17" s="136">
        <v>96.7</v>
      </c>
      <c r="F17" s="136">
        <v>9112</v>
      </c>
      <c r="G17" s="136">
        <v>96</v>
      </c>
      <c r="H17" s="136">
        <v>75</v>
      </c>
      <c r="I17" s="74">
        <v>100</v>
      </c>
      <c r="J17" s="136">
        <v>4545</v>
      </c>
      <c r="K17" s="136">
        <v>66.7</v>
      </c>
      <c r="L17" s="136">
        <v>88.9</v>
      </c>
      <c r="M17" s="136">
        <v>85.7</v>
      </c>
      <c r="N17" s="136">
        <v>57.1</v>
      </c>
      <c r="O17" s="136">
        <v>69.2</v>
      </c>
      <c r="P17" s="136">
        <v>67.3</v>
      </c>
      <c r="Q17" s="136">
        <v>5115</v>
      </c>
    </row>
    <row r="18" spans="1:17" x14ac:dyDescent="0.25">
      <c r="A18" s="14">
        <v>20181</v>
      </c>
      <c r="B18" s="6">
        <v>2</v>
      </c>
      <c r="C18" s="5" t="str">
        <f t="shared" si="0"/>
        <v>2_20181</v>
      </c>
      <c r="D18" s="74">
        <v>84.38</v>
      </c>
      <c r="E18" s="74">
        <v>85.11</v>
      </c>
      <c r="F18" s="157">
        <v>8461</v>
      </c>
      <c r="G18" s="158">
        <v>92.308000000000007</v>
      </c>
      <c r="H18" s="159">
        <v>85.713999999999999</v>
      </c>
      <c r="I18" s="159">
        <v>83.332999999999998</v>
      </c>
      <c r="J18" s="157">
        <v>4546</v>
      </c>
      <c r="K18" s="158">
        <v>66.667000000000002</v>
      </c>
      <c r="L18" s="159">
        <v>92.105000000000004</v>
      </c>
      <c r="M18" s="159">
        <v>70.832999999999998</v>
      </c>
      <c r="N18" s="159">
        <v>62.5</v>
      </c>
      <c r="O18" s="159">
        <v>68.325999999999993</v>
      </c>
      <c r="P18" s="159">
        <v>67.441000000000003</v>
      </c>
      <c r="Q18" s="157">
        <v>5332</v>
      </c>
    </row>
    <row r="19" spans="1:17" x14ac:dyDescent="0.25">
      <c r="A19">
        <v>2011</v>
      </c>
      <c r="B19" s="6">
        <v>3</v>
      </c>
      <c r="C19" s="5" t="str">
        <f t="shared" si="0"/>
        <v>3_2011</v>
      </c>
      <c r="D19" s="74">
        <f>0.7821*100</f>
        <v>78.210000000000008</v>
      </c>
      <c r="E19" s="74">
        <v>76</v>
      </c>
      <c r="F19" s="155">
        <v>5018</v>
      </c>
      <c r="G19" s="74">
        <v>92.86</v>
      </c>
      <c r="H19" s="74">
        <v>100</v>
      </c>
      <c r="I19" s="74">
        <v>90.32</v>
      </c>
      <c r="J19" s="155">
        <v>6611</v>
      </c>
      <c r="K19" s="74">
        <v>87.5</v>
      </c>
      <c r="L19" s="74">
        <v>40</v>
      </c>
      <c r="M19" s="74">
        <v>46.379999999999995</v>
      </c>
      <c r="N19" s="74">
        <v>97.78</v>
      </c>
      <c r="O19" s="74">
        <v>0</v>
      </c>
      <c r="P19" s="74">
        <v>0</v>
      </c>
      <c r="Q19" s="156">
        <v>0</v>
      </c>
    </row>
    <row r="20" spans="1:17" x14ac:dyDescent="0.25">
      <c r="A20">
        <v>2012</v>
      </c>
      <c r="B20" s="6">
        <v>3</v>
      </c>
      <c r="C20" s="5" t="str">
        <f t="shared" si="0"/>
        <v>3_2012</v>
      </c>
      <c r="D20" s="74">
        <f>0.7037*100</f>
        <v>70.37</v>
      </c>
      <c r="E20" s="74">
        <v>56.06</v>
      </c>
      <c r="F20" s="155">
        <v>5394</v>
      </c>
      <c r="G20" s="74">
        <v>71.23</v>
      </c>
      <c r="H20" s="74">
        <v>65.849999999999994</v>
      </c>
      <c r="I20" s="74">
        <v>74.290000000000006</v>
      </c>
      <c r="J20" s="155">
        <v>7213.5</v>
      </c>
      <c r="K20" s="74">
        <v>88.570000000000007</v>
      </c>
      <c r="L20" s="74">
        <v>51.519999999999996</v>
      </c>
      <c r="M20" s="74">
        <v>62.79</v>
      </c>
      <c r="N20" s="74">
        <v>78.790000000000006</v>
      </c>
      <c r="O20" s="74">
        <v>58.58</v>
      </c>
      <c r="P20" s="74">
        <v>50.639999999999993</v>
      </c>
      <c r="Q20" s="155">
        <v>3933</v>
      </c>
    </row>
    <row r="21" spans="1:17" x14ac:dyDescent="0.25">
      <c r="A21">
        <v>2013</v>
      </c>
      <c r="B21" s="6">
        <v>3</v>
      </c>
      <c r="C21" s="5" t="str">
        <f t="shared" si="0"/>
        <v>3_2013</v>
      </c>
      <c r="D21" s="74">
        <f>0.8182*100</f>
        <v>81.820000000000007</v>
      </c>
      <c r="E21" s="74">
        <v>59.489999999999995</v>
      </c>
      <c r="F21" s="155">
        <v>5412</v>
      </c>
      <c r="G21" s="74">
        <v>84</v>
      </c>
      <c r="H21" s="74">
        <v>100</v>
      </c>
      <c r="I21" s="74">
        <v>66.67</v>
      </c>
      <c r="J21" s="155">
        <v>6875</v>
      </c>
      <c r="K21" s="74">
        <v>77.78</v>
      </c>
      <c r="L21" s="74">
        <v>63.639999999999993</v>
      </c>
      <c r="M21" s="74">
        <v>50</v>
      </c>
      <c r="N21" s="74">
        <v>83.72</v>
      </c>
      <c r="O21" s="74">
        <v>60.089999999999996</v>
      </c>
      <c r="P21" s="74">
        <v>58.07</v>
      </c>
      <c r="Q21" s="155">
        <v>4236.5</v>
      </c>
    </row>
    <row r="22" spans="1:17" x14ac:dyDescent="0.25">
      <c r="A22">
        <v>2014</v>
      </c>
      <c r="B22" s="6">
        <v>3</v>
      </c>
      <c r="C22" s="5" t="str">
        <f t="shared" si="0"/>
        <v>3_2014</v>
      </c>
      <c r="D22" s="74">
        <f>0.8857*100</f>
        <v>88.570000000000007</v>
      </c>
      <c r="E22" s="74">
        <v>80</v>
      </c>
      <c r="F22" s="155">
        <v>7715</v>
      </c>
      <c r="G22" s="74">
        <v>82.76</v>
      </c>
      <c r="H22" s="74">
        <v>85.71</v>
      </c>
      <c r="I22" s="74">
        <v>91.67</v>
      </c>
      <c r="J22" s="155">
        <v>6092</v>
      </c>
      <c r="K22" s="74">
        <v>93.33</v>
      </c>
      <c r="L22" s="74">
        <v>76.47</v>
      </c>
      <c r="M22" s="74">
        <v>75.760000000000005</v>
      </c>
      <c r="N22" s="74">
        <v>63.639999999999993</v>
      </c>
      <c r="O22" s="74">
        <v>61.319999999999993</v>
      </c>
      <c r="P22" s="74">
        <v>60.629999999999995</v>
      </c>
      <c r="Q22" s="155">
        <v>4303.5749999999998</v>
      </c>
    </row>
    <row r="23" spans="1:17" x14ac:dyDescent="0.25">
      <c r="A23">
        <v>2015</v>
      </c>
      <c r="B23" s="6">
        <v>3</v>
      </c>
      <c r="C23" s="5" t="str">
        <f t="shared" si="0"/>
        <v>3_2015</v>
      </c>
      <c r="D23" s="74">
        <f>0.8*100</f>
        <v>80</v>
      </c>
      <c r="E23" s="74">
        <v>91.67</v>
      </c>
      <c r="F23" s="155">
        <v>6152</v>
      </c>
      <c r="G23" s="74">
        <v>78.430000000000007</v>
      </c>
      <c r="H23" s="74">
        <v>85.71</v>
      </c>
      <c r="I23" s="74">
        <v>93.75</v>
      </c>
      <c r="J23" s="155">
        <v>8464</v>
      </c>
      <c r="K23" s="74">
        <v>100</v>
      </c>
      <c r="L23" s="74">
        <v>58.489999999999995</v>
      </c>
      <c r="M23" s="74">
        <v>58.330000000000005</v>
      </c>
      <c r="N23" s="74">
        <v>60.419999999999995</v>
      </c>
      <c r="O23" s="74">
        <v>64.22</v>
      </c>
      <c r="P23" s="74">
        <v>61.750000000000007</v>
      </c>
      <c r="Q23" s="155">
        <v>4234.5</v>
      </c>
    </row>
    <row r="24" spans="1:17" x14ac:dyDescent="0.25">
      <c r="A24">
        <v>2016</v>
      </c>
      <c r="B24" s="6">
        <v>3</v>
      </c>
      <c r="C24" s="5" t="str">
        <f t="shared" si="0"/>
        <v>3_2016</v>
      </c>
      <c r="D24" s="74">
        <f>0.945945945945946*100</f>
        <v>94.594594594594611</v>
      </c>
      <c r="E24" s="74">
        <v>77.777777777777786</v>
      </c>
      <c r="F24" s="155">
        <v>6577</v>
      </c>
      <c r="G24" s="74">
        <v>0</v>
      </c>
      <c r="H24" s="74">
        <v>100</v>
      </c>
      <c r="I24" s="74">
        <v>77.777777777777786</v>
      </c>
      <c r="J24" s="155">
        <v>9601</v>
      </c>
      <c r="K24" s="74">
        <v>0</v>
      </c>
      <c r="L24" s="74">
        <v>80</v>
      </c>
      <c r="M24" s="74">
        <v>54.716981132075468</v>
      </c>
      <c r="N24" s="74">
        <v>0</v>
      </c>
      <c r="O24" s="74">
        <v>60.62176165803109</v>
      </c>
      <c r="P24" s="74">
        <v>59.120879120879124</v>
      </c>
      <c r="Q24" s="155">
        <v>5011</v>
      </c>
    </row>
    <row r="25" spans="1:17" x14ac:dyDescent="0.25">
      <c r="A25">
        <v>2017</v>
      </c>
      <c r="B25" s="6">
        <v>3</v>
      </c>
      <c r="C25" s="5" t="str">
        <f t="shared" si="0"/>
        <v>3_2017</v>
      </c>
      <c r="D25" s="136">
        <v>100</v>
      </c>
      <c r="E25" s="136">
        <v>94.7</v>
      </c>
      <c r="F25" s="136">
        <v>7304</v>
      </c>
      <c r="G25" s="136">
        <v>94.7</v>
      </c>
      <c r="H25" s="136">
        <v>100</v>
      </c>
      <c r="I25" s="74">
        <v>100</v>
      </c>
      <c r="J25" s="136">
        <v>11495</v>
      </c>
      <c r="K25" s="136">
        <v>100</v>
      </c>
      <c r="L25" s="136">
        <v>96.6</v>
      </c>
      <c r="M25" s="136">
        <v>77.8</v>
      </c>
      <c r="N25" s="136">
        <v>88.9</v>
      </c>
      <c r="O25" s="136">
        <v>67.8</v>
      </c>
      <c r="P25" s="136">
        <v>67.7</v>
      </c>
      <c r="Q25" s="136">
        <v>4271</v>
      </c>
    </row>
    <row r="26" spans="1:17" x14ac:dyDescent="0.25">
      <c r="A26" s="14">
        <v>20181</v>
      </c>
      <c r="B26" s="6">
        <v>3</v>
      </c>
      <c r="C26" s="5" t="str">
        <f t="shared" si="0"/>
        <v>3_20181</v>
      </c>
      <c r="D26" s="74">
        <v>100</v>
      </c>
      <c r="E26" s="74">
        <v>97.22</v>
      </c>
      <c r="F26" s="157">
        <v>7421</v>
      </c>
      <c r="G26" s="158">
        <v>96.667000000000002</v>
      </c>
      <c r="H26" s="159">
        <v>100</v>
      </c>
      <c r="I26" s="159">
        <v>100</v>
      </c>
      <c r="J26" s="157">
        <v>11495</v>
      </c>
      <c r="K26" s="158">
        <v>100</v>
      </c>
      <c r="L26" s="159">
        <v>88.888999999999996</v>
      </c>
      <c r="M26" s="159">
        <v>78.947000000000003</v>
      </c>
      <c r="N26" s="159">
        <v>89.474000000000004</v>
      </c>
      <c r="O26" s="159">
        <v>68.396999999999991</v>
      </c>
      <c r="P26" s="159">
        <v>68.128999999999991</v>
      </c>
      <c r="Q26" s="157">
        <v>4223</v>
      </c>
    </row>
    <row r="27" spans="1:17" x14ac:dyDescent="0.25">
      <c r="A27">
        <v>2011</v>
      </c>
      <c r="B27" s="6">
        <v>4</v>
      </c>
      <c r="C27" s="5" t="str">
        <f t="shared" si="0"/>
        <v>4_2011</v>
      </c>
      <c r="D27" s="74">
        <f>0.9002*100</f>
        <v>90.02</v>
      </c>
      <c r="E27" s="74">
        <v>85.3</v>
      </c>
      <c r="F27" s="155">
        <v>9617.5</v>
      </c>
      <c r="G27" s="74">
        <v>87.539999999999992</v>
      </c>
      <c r="H27" s="74">
        <v>77.239999999999995</v>
      </c>
      <c r="I27" s="74">
        <v>73.709999999999994</v>
      </c>
      <c r="J27" s="155">
        <v>7109</v>
      </c>
      <c r="K27" s="74">
        <v>80</v>
      </c>
      <c r="L27" s="74">
        <v>65.429999999999993</v>
      </c>
      <c r="M27" s="74">
        <v>62.5</v>
      </c>
      <c r="N27" s="74">
        <v>88.61</v>
      </c>
      <c r="O27" s="74">
        <v>0</v>
      </c>
      <c r="P27" s="74">
        <v>0</v>
      </c>
      <c r="Q27" s="156">
        <v>0</v>
      </c>
    </row>
    <row r="28" spans="1:17" x14ac:dyDescent="0.25">
      <c r="A28">
        <v>2012</v>
      </c>
      <c r="B28" s="6">
        <v>4</v>
      </c>
      <c r="C28" s="5" t="str">
        <f t="shared" si="0"/>
        <v>4_2012</v>
      </c>
      <c r="D28" s="74">
        <f>0.8571*100</f>
        <v>85.71</v>
      </c>
      <c r="E28" s="74">
        <v>83.919999999999987</v>
      </c>
      <c r="F28" s="155">
        <v>7252</v>
      </c>
      <c r="G28" s="74">
        <v>75.599999999999994</v>
      </c>
      <c r="H28" s="74">
        <v>77.12</v>
      </c>
      <c r="I28" s="74">
        <v>68.42</v>
      </c>
      <c r="J28" s="155">
        <v>5862</v>
      </c>
      <c r="K28" s="74">
        <v>78.569999999999993</v>
      </c>
      <c r="L28" s="74">
        <v>77.42</v>
      </c>
      <c r="M28" s="74">
        <v>65.45</v>
      </c>
      <c r="N28" s="74">
        <v>90</v>
      </c>
      <c r="O28" s="74">
        <v>62.41</v>
      </c>
      <c r="P28" s="74">
        <v>56.230000000000004</v>
      </c>
      <c r="Q28" s="155">
        <v>4066.5</v>
      </c>
    </row>
    <row r="29" spans="1:17" x14ac:dyDescent="0.25">
      <c r="A29">
        <v>2013</v>
      </c>
      <c r="B29" s="6">
        <v>4</v>
      </c>
      <c r="C29" s="5" t="str">
        <f t="shared" si="0"/>
        <v>4_2013</v>
      </c>
      <c r="D29" s="74">
        <f>0.9239*100</f>
        <v>92.39</v>
      </c>
      <c r="E29" s="74">
        <v>77.64</v>
      </c>
      <c r="F29" s="155">
        <v>7856</v>
      </c>
      <c r="G29" s="74">
        <v>87.69</v>
      </c>
      <c r="H29" s="74">
        <v>86</v>
      </c>
      <c r="I29" s="74">
        <v>72.22</v>
      </c>
      <c r="J29" s="155">
        <v>7270.5</v>
      </c>
      <c r="K29" s="74">
        <v>82.95</v>
      </c>
      <c r="L29" s="74">
        <v>75.290000000000006</v>
      </c>
      <c r="M29" s="74">
        <v>69.62</v>
      </c>
      <c r="N29" s="74">
        <v>78.820000000000007</v>
      </c>
      <c r="O29" s="74">
        <v>65.25</v>
      </c>
      <c r="P29" s="74">
        <v>62.61</v>
      </c>
      <c r="Q29" s="155">
        <v>4221.5</v>
      </c>
    </row>
    <row r="30" spans="1:17" x14ac:dyDescent="0.25">
      <c r="A30">
        <v>2014</v>
      </c>
      <c r="B30" s="6">
        <v>4</v>
      </c>
      <c r="C30" s="5" t="str">
        <f t="shared" si="0"/>
        <v>4_2014</v>
      </c>
      <c r="D30" s="74">
        <f>0.9545*100</f>
        <v>95.45</v>
      </c>
      <c r="E30" s="74">
        <v>87.460000000000008</v>
      </c>
      <c r="F30" s="155">
        <v>8513</v>
      </c>
      <c r="G30" s="74">
        <v>94.16</v>
      </c>
      <c r="H30" s="74">
        <v>87.5</v>
      </c>
      <c r="I30" s="74">
        <v>82.08</v>
      </c>
      <c r="J30" s="155">
        <v>8364.5</v>
      </c>
      <c r="K30" s="74">
        <v>85.48</v>
      </c>
      <c r="L30" s="74">
        <v>86.79</v>
      </c>
      <c r="M30" s="74">
        <v>82.86</v>
      </c>
      <c r="N30" s="74">
        <v>88.68</v>
      </c>
      <c r="O30" s="74">
        <v>69.179999999999993</v>
      </c>
      <c r="P30" s="74">
        <v>65.94</v>
      </c>
      <c r="Q30" s="155">
        <v>4703.5</v>
      </c>
    </row>
    <row r="31" spans="1:17" x14ac:dyDescent="0.25">
      <c r="A31">
        <v>2015</v>
      </c>
      <c r="B31" s="6">
        <v>4</v>
      </c>
      <c r="C31" s="5" t="str">
        <f t="shared" si="0"/>
        <v>4_2015</v>
      </c>
      <c r="D31" s="74">
        <f>0.9277*100</f>
        <v>92.77</v>
      </c>
      <c r="E31" s="74">
        <v>91.64</v>
      </c>
      <c r="F31" s="155">
        <v>9933</v>
      </c>
      <c r="G31" s="74">
        <v>94.03</v>
      </c>
      <c r="H31" s="74">
        <v>92.73</v>
      </c>
      <c r="I31" s="74">
        <v>86.89</v>
      </c>
      <c r="J31" s="155">
        <v>9224</v>
      </c>
      <c r="K31" s="74">
        <v>86</v>
      </c>
      <c r="L31" s="74">
        <v>56.35</v>
      </c>
      <c r="M31" s="74">
        <v>78.13</v>
      </c>
      <c r="N31" s="74">
        <v>44.39</v>
      </c>
      <c r="O31" s="74">
        <v>67.989999999999995</v>
      </c>
      <c r="P31" s="74">
        <v>64.87</v>
      </c>
      <c r="Q31" s="155">
        <v>4680</v>
      </c>
    </row>
    <row r="32" spans="1:17" x14ac:dyDescent="0.25">
      <c r="A32">
        <v>2016</v>
      </c>
      <c r="B32" s="6">
        <v>4</v>
      </c>
      <c r="C32" s="5" t="str">
        <f t="shared" si="0"/>
        <v>4_2016</v>
      </c>
      <c r="D32" s="74">
        <f>0.947368421052632*100</f>
        <v>94.736842105263193</v>
      </c>
      <c r="E32" s="74">
        <v>89.80263157894737</v>
      </c>
      <c r="F32" s="155">
        <v>9696</v>
      </c>
      <c r="G32" s="74">
        <v>0</v>
      </c>
      <c r="H32" s="74">
        <v>92.307692307692307</v>
      </c>
      <c r="I32" s="74">
        <v>94.444444444444443</v>
      </c>
      <c r="J32" s="155">
        <v>8199</v>
      </c>
      <c r="K32" s="74">
        <v>0</v>
      </c>
      <c r="L32" s="74">
        <v>52.247191011235962</v>
      </c>
      <c r="M32" s="74">
        <v>64.583333333333343</v>
      </c>
      <c r="N32" s="74">
        <v>0</v>
      </c>
      <c r="O32" s="74">
        <v>69.471541267283072</v>
      </c>
      <c r="P32" s="74">
        <v>63.810498610908027</v>
      </c>
      <c r="Q32" s="155">
        <v>5259</v>
      </c>
    </row>
    <row r="33" spans="1:17" x14ac:dyDescent="0.25">
      <c r="A33">
        <v>2017</v>
      </c>
      <c r="B33" s="6">
        <v>4</v>
      </c>
      <c r="C33" s="5" t="str">
        <f t="shared" si="0"/>
        <v>4_2017</v>
      </c>
      <c r="D33" s="136">
        <v>95.5</v>
      </c>
      <c r="E33" s="136">
        <v>91.6</v>
      </c>
      <c r="F33" s="136">
        <v>8057</v>
      </c>
      <c r="G33" s="136">
        <v>86.5</v>
      </c>
      <c r="H33" s="136">
        <v>81.8</v>
      </c>
      <c r="I33" s="74">
        <v>100</v>
      </c>
      <c r="J33" s="136">
        <v>10373</v>
      </c>
      <c r="K33" s="136">
        <v>100</v>
      </c>
      <c r="L33" s="136">
        <v>94.3</v>
      </c>
      <c r="M33" s="136">
        <v>83.3</v>
      </c>
      <c r="N33" s="136">
        <v>100</v>
      </c>
      <c r="O33" s="136">
        <v>71.3</v>
      </c>
      <c r="P33" s="136">
        <v>70.2</v>
      </c>
      <c r="Q33" s="136">
        <v>4856</v>
      </c>
    </row>
    <row r="34" spans="1:17" x14ac:dyDescent="0.25">
      <c r="A34" s="14">
        <v>20181</v>
      </c>
      <c r="B34" s="6">
        <v>4</v>
      </c>
      <c r="C34" s="5" t="str">
        <f t="shared" si="0"/>
        <v>4_20181</v>
      </c>
      <c r="D34" s="74">
        <v>97.32</v>
      </c>
      <c r="E34" s="74">
        <v>91.13</v>
      </c>
      <c r="F34" s="157">
        <v>8402</v>
      </c>
      <c r="G34" s="158">
        <v>77.082999999999998</v>
      </c>
      <c r="H34" s="159">
        <v>90.908999999999992</v>
      </c>
      <c r="I34" s="159">
        <v>87.5</v>
      </c>
      <c r="J34" s="157">
        <v>8228</v>
      </c>
      <c r="K34" s="158">
        <v>100</v>
      </c>
      <c r="L34" s="159">
        <v>92.308000000000007</v>
      </c>
      <c r="M34" s="159">
        <v>84.614999999999995</v>
      </c>
      <c r="N34" s="159">
        <v>100</v>
      </c>
      <c r="O34" s="159">
        <v>71.013999999999996</v>
      </c>
      <c r="P34" s="159">
        <v>69.646000000000001</v>
      </c>
      <c r="Q34" s="157">
        <v>5016</v>
      </c>
    </row>
    <row r="35" spans="1:17" x14ac:dyDescent="0.25">
      <c r="A35">
        <v>2011</v>
      </c>
      <c r="B35" s="6">
        <v>5</v>
      </c>
      <c r="C35" s="5" t="str">
        <f t="shared" si="0"/>
        <v>5_2011</v>
      </c>
      <c r="D35" s="74">
        <f>0.8226*100</f>
        <v>82.26</v>
      </c>
      <c r="E35" s="74">
        <v>72.319999999999993</v>
      </c>
      <c r="F35" s="155">
        <v>7612</v>
      </c>
      <c r="G35" s="74">
        <v>87.32</v>
      </c>
      <c r="H35" s="74">
        <v>93.28</v>
      </c>
      <c r="I35" s="74">
        <v>83.04</v>
      </c>
      <c r="J35" s="155">
        <v>8120</v>
      </c>
      <c r="K35" s="74">
        <v>91.67</v>
      </c>
      <c r="L35" s="74">
        <v>62.92</v>
      </c>
      <c r="M35" s="74">
        <v>59.830000000000005</v>
      </c>
      <c r="N35" s="74">
        <v>90.59</v>
      </c>
      <c r="O35" s="74">
        <v>0</v>
      </c>
      <c r="P35" s="74">
        <v>0</v>
      </c>
      <c r="Q35" s="156">
        <v>0</v>
      </c>
    </row>
    <row r="36" spans="1:17" x14ac:dyDescent="0.25">
      <c r="A36">
        <v>2012</v>
      </c>
      <c r="B36" s="6">
        <v>5</v>
      </c>
      <c r="C36" s="5" t="str">
        <f t="shared" si="0"/>
        <v>5_2012</v>
      </c>
      <c r="D36" s="74">
        <f>0.9196*100</f>
        <v>91.96</v>
      </c>
      <c r="E36" s="74">
        <v>86.52</v>
      </c>
      <c r="F36" s="155">
        <v>8095</v>
      </c>
      <c r="G36" s="74">
        <v>84.88</v>
      </c>
      <c r="H36" s="74">
        <v>91.8</v>
      </c>
      <c r="I36" s="74">
        <v>89.91</v>
      </c>
      <c r="J36" s="155">
        <v>8045</v>
      </c>
      <c r="K36" s="74">
        <v>100</v>
      </c>
      <c r="L36" s="74">
        <v>55.22</v>
      </c>
      <c r="M36" s="74">
        <v>61.429999999999993</v>
      </c>
      <c r="N36" s="74">
        <v>85.71</v>
      </c>
      <c r="O36" s="74">
        <v>57.67</v>
      </c>
      <c r="P36" s="74">
        <v>51.06</v>
      </c>
      <c r="Q36" s="155">
        <v>4304</v>
      </c>
    </row>
    <row r="37" spans="1:17" x14ac:dyDescent="0.25">
      <c r="A37">
        <v>2013</v>
      </c>
      <c r="B37" s="6">
        <v>5</v>
      </c>
      <c r="C37" s="5" t="str">
        <f t="shared" si="0"/>
        <v>5_2013</v>
      </c>
      <c r="D37" s="74">
        <f>0.9241*100</f>
        <v>92.41</v>
      </c>
      <c r="E37" s="74">
        <v>91.53</v>
      </c>
      <c r="F37" s="155">
        <v>8901</v>
      </c>
      <c r="G37" s="74">
        <v>94.94</v>
      </c>
      <c r="H37" s="74">
        <v>87.37</v>
      </c>
      <c r="I37" s="74">
        <v>85.59</v>
      </c>
      <c r="J37" s="155">
        <v>7091.5</v>
      </c>
      <c r="K37" s="74">
        <v>91.67</v>
      </c>
      <c r="L37" s="74">
        <v>54.169999999999995</v>
      </c>
      <c r="M37" s="74">
        <v>59.150000000000006</v>
      </c>
      <c r="N37" s="74">
        <v>89.47</v>
      </c>
      <c r="O37" s="74">
        <v>64.239999999999995</v>
      </c>
      <c r="P37" s="74">
        <v>61.69</v>
      </c>
      <c r="Q37" s="155">
        <v>4613</v>
      </c>
    </row>
    <row r="38" spans="1:17" x14ac:dyDescent="0.25">
      <c r="A38">
        <v>2014</v>
      </c>
      <c r="B38" s="6">
        <v>5</v>
      </c>
      <c r="C38" s="5" t="str">
        <f t="shared" si="0"/>
        <v>5_2014</v>
      </c>
      <c r="D38" s="74">
        <f>0.8558*100</f>
        <v>85.58</v>
      </c>
      <c r="E38" s="74">
        <v>91.56</v>
      </c>
      <c r="F38" s="155">
        <v>7625.5</v>
      </c>
      <c r="G38" s="74">
        <v>74.209999999999994</v>
      </c>
      <c r="H38" s="74">
        <v>84.67</v>
      </c>
      <c r="I38" s="74">
        <v>82.88</v>
      </c>
      <c r="J38" s="155">
        <v>6369</v>
      </c>
      <c r="K38" s="74">
        <v>83.72</v>
      </c>
      <c r="L38" s="74">
        <v>71.569999999999993</v>
      </c>
      <c r="M38" s="74">
        <v>64.47</v>
      </c>
      <c r="N38" s="74">
        <v>69.740000000000009</v>
      </c>
      <c r="O38" s="74">
        <v>68.899999999999991</v>
      </c>
      <c r="P38" s="74">
        <v>66.27</v>
      </c>
      <c r="Q38" s="155">
        <v>4885</v>
      </c>
    </row>
    <row r="39" spans="1:17" x14ac:dyDescent="0.25">
      <c r="A39">
        <v>2015</v>
      </c>
      <c r="B39" s="6">
        <v>5</v>
      </c>
      <c r="C39" s="5" t="str">
        <f t="shared" si="0"/>
        <v>5_2015</v>
      </c>
      <c r="D39" s="74">
        <f>0.894*100</f>
        <v>89.4</v>
      </c>
      <c r="E39" s="74">
        <v>78.569999999999993</v>
      </c>
      <c r="F39" s="155">
        <v>6000</v>
      </c>
      <c r="G39" s="74">
        <v>68.64</v>
      </c>
      <c r="H39" s="74">
        <v>92.35</v>
      </c>
      <c r="I39" s="74">
        <v>80</v>
      </c>
      <c r="J39" s="155">
        <v>5960</v>
      </c>
      <c r="K39" s="74">
        <v>68.97</v>
      </c>
      <c r="L39" s="74">
        <v>74.22</v>
      </c>
      <c r="M39" s="74">
        <v>69.010000000000005</v>
      </c>
      <c r="N39" s="74">
        <v>70.489999999999995</v>
      </c>
      <c r="O39" s="74">
        <v>68.42</v>
      </c>
      <c r="P39" s="74">
        <v>66.66</v>
      </c>
      <c r="Q39" s="155">
        <v>5032</v>
      </c>
    </row>
    <row r="40" spans="1:17" x14ac:dyDescent="0.25">
      <c r="A40">
        <v>2016</v>
      </c>
      <c r="B40" s="6">
        <v>5</v>
      </c>
      <c r="C40" s="5" t="str">
        <f t="shared" si="0"/>
        <v>5_2016</v>
      </c>
      <c r="D40" s="74">
        <f>0.673629242819843*100</f>
        <v>67.362924281984306</v>
      </c>
      <c r="E40" s="74">
        <v>83.576642335766422</v>
      </c>
      <c r="F40" s="155">
        <v>6148</v>
      </c>
      <c r="G40" s="74">
        <v>0</v>
      </c>
      <c r="H40" s="74">
        <v>55.701754385964911</v>
      </c>
      <c r="I40" s="74">
        <v>90.140845070422543</v>
      </c>
      <c r="J40" s="155">
        <v>5806</v>
      </c>
      <c r="K40" s="74">
        <v>0</v>
      </c>
      <c r="L40" s="74">
        <v>60.130718954248366</v>
      </c>
      <c r="M40" s="74">
        <v>70.716510903426794</v>
      </c>
      <c r="N40" s="74">
        <v>0</v>
      </c>
      <c r="O40" s="74">
        <v>61.63044426987868</v>
      </c>
      <c r="P40" s="74">
        <v>63.287605678736639</v>
      </c>
      <c r="Q40" s="155">
        <v>5366</v>
      </c>
    </row>
    <row r="41" spans="1:17" x14ac:dyDescent="0.25">
      <c r="A41">
        <v>2017</v>
      </c>
      <c r="B41" s="6">
        <v>5</v>
      </c>
      <c r="C41" s="5" t="str">
        <f t="shared" si="0"/>
        <v>5_2017</v>
      </c>
      <c r="D41" s="136">
        <v>92.8</v>
      </c>
      <c r="E41" s="136">
        <v>92.3</v>
      </c>
      <c r="F41" s="136">
        <v>8682</v>
      </c>
      <c r="G41" s="136">
        <v>94.1</v>
      </c>
      <c r="H41" s="136">
        <v>84.6</v>
      </c>
      <c r="I41" s="136">
        <v>83.3</v>
      </c>
      <c r="J41" s="136">
        <v>7439</v>
      </c>
      <c r="K41" s="136">
        <v>100</v>
      </c>
      <c r="L41" s="136">
        <v>74.3</v>
      </c>
      <c r="M41" s="136">
        <v>64.3</v>
      </c>
      <c r="N41" s="136">
        <v>100</v>
      </c>
      <c r="O41" s="136">
        <v>62.8</v>
      </c>
      <c r="P41" s="136">
        <v>63.3</v>
      </c>
      <c r="Q41" s="136">
        <v>4146</v>
      </c>
    </row>
    <row r="42" spans="1:17" x14ac:dyDescent="0.25">
      <c r="A42" s="14">
        <v>20181</v>
      </c>
      <c r="B42" s="6">
        <v>5</v>
      </c>
      <c r="C42" s="5" t="str">
        <f t="shared" si="0"/>
        <v>5_20181</v>
      </c>
      <c r="D42" s="74">
        <v>91.95</v>
      </c>
      <c r="E42" s="74">
        <v>90.2</v>
      </c>
      <c r="F42" s="157">
        <v>7691</v>
      </c>
      <c r="G42" s="158">
        <v>96.667000000000002</v>
      </c>
      <c r="H42" s="159">
        <v>90.908999999999992</v>
      </c>
      <c r="I42" s="159">
        <v>77.778000000000006</v>
      </c>
      <c r="J42" s="157">
        <v>6918</v>
      </c>
      <c r="K42" s="158">
        <v>100</v>
      </c>
      <c r="L42" s="159">
        <v>79.412000000000006</v>
      </c>
      <c r="M42" s="159">
        <v>68.182000000000002</v>
      </c>
      <c r="N42" s="159">
        <v>77.778000000000006</v>
      </c>
      <c r="O42" s="159">
        <v>65.006</v>
      </c>
      <c r="P42" s="159">
        <v>62.982999999999997</v>
      </c>
      <c r="Q42" s="157">
        <v>4133</v>
      </c>
    </row>
    <row r="43" spans="1:17" x14ac:dyDescent="0.25">
      <c r="A43">
        <v>2011</v>
      </c>
      <c r="B43" s="6">
        <v>6</v>
      </c>
      <c r="C43" s="5" t="str">
        <f t="shared" si="0"/>
        <v>6_2011</v>
      </c>
      <c r="D43" s="74">
        <f>0.8919*100</f>
        <v>89.19</v>
      </c>
      <c r="E43" s="74">
        <v>79.41</v>
      </c>
      <c r="F43" s="155">
        <v>8600</v>
      </c>
      <c r="G43" s="74">
        <v>85.289999999999992</v>
      </c>
      <c r="H43" s="74">
        <v>94.44</v>
      </c>
      <c r="I43" s="74">
        <v>78.569999999999993</v>
      </c>
      <c r="J43" s="155">
        <v>7523</v>
      </c>
      <c r="K43" s="74">
        <v>95</v>
      </c>
      <c r="L43" s="74">
        <v>31.169999999999998</v>
      </c>
      <c r="M43" s="74">
        <v>42.11</v>
      </c>
      <c r="N43" s="74">
        <v>87.01</v>
      </c>
      <c r="O43" s="74">
        <v>0</v>
      </c>
      <c r="P43" s="74">
        <v>0</v>
      </c>
      <c r="Q43" s="156">
        <v>0</v>
      </c>
    </row>
    <row r="44" spans="1:17" x14ac:dyDescent="0.25">
      <c r="A44">
        <v>2012</v>
      </c>
      <c r="B44" s="6">
        <v>6</v>
      </c>
      <c r="C44" s="5" t="str">
        <f t="shared" si="0"/>
        <v>6_2012</v>
      </c>
      <c r="D44" s="74">
        <f>0.8136*100</f>
        <v>81.36</v>
      </c>
      <c r="E44" s="74">
        <v>72.28</v>
      </c>
      <c r="F44" s="155">
        <v>5431</v>
      </c>
      <c r="G44" s="74">
        <v>73.680000000000007</v>
      </c>
      <c r="H44" s="74">
        <v>86.67</v>
      </c>
      <c r="I44" s="74">
        <v>84.21</v>
      </c>
      <c r="J44" s="155">
        <v>6263</v>
      </c>
      <c r="K44" s="74">
        <v>70</v>
      </c>
      <c r="L44" s="74">
        <v>57.14</v>
      </c>
      <c r="M44" s="74">
        <v>48.08</v>
      </c>
      <c r="N44" s="74">
        <v>91.07</v>
      </c>
      <c r="O44" s="74">
        <v>52.26</v>
      </c>
      <c r="P44" s="74">
        <v>47.12</v>
      </c>
      <c r="Q44" s="155">
        <v>3866.5</v>
      </c>
    </row>
    <row r="45" spans="1:17" x14ac:dyDescent="0.25">
      <c r="A45">
        <v>2013</v>
      </c>
      <c r="B45" s="6">
        <v>6</v>
      </c>
      <c r="C45" s="5" t="str">
        <f t="shared" si="0"/>
        <v>6_2013</v>
      </c>
      <c r="D45" s="74">
        <f>0.9346*100</f>
        <v>93.46</v>
      </c>
      <c r="E45" s="74">
        <v>76.599999999999994</v>
      </c>
      <c r="F45" s="155">
        <v>7839</v>
      </c>
      <c r="G45" s="74">
        <v>93.86</v>
      </c>
      <c r="H45" s="74">
        <v>42.86</v>
      </c>
      <c r="I45" s="74">
        <v>100</v>
      </c>
      <c r="J45" s="155">
        <v>5065.5</v>
      </c>
      <c r="K45" s="74">
        <v>25</v>
      </c>
      <c r="L45" s="74">
        <v>56.52</v>
      </c>
      <c r="M45" s="74">
        <v>74.19</v>
      </c>
      <c r="N45" s="74">
        <v>47.620000000000005</v>
      </c>
      <c r="O45" s="74">
        <v>55.65</v>
      </c>
      <c r="P45" s="74">
        <v>53.190000000000005</v>
      </c>
      <c r="Q45" s="155">
        <v>4037</v>
      </c>
    </row>
    <row r="46" spans="1:17" x14ac:dyDescent="0.25">
      <c r="A46">
        <v>2014</v>
      </c>
      <c r="B46" s="6">
        <v>6</v>
      </c>
      <c r="C46" s="5" t="str">
        <f t="shared" si="0"/>
        <v>6_2014</v>
      </c>
      <c r="D46" s="74">
        <f>0.9155*100</f>
        <v>91.55</v>
      </c>
      <c r="E46" s="74">
        <v>92.73</v>
      </c>
      <c r="F46" s="155">
        <v>8165</v>
      </c>
      <c r="G46" s="74">
        <v>70.240000000000009</v>
      </c>
      <c r="H46" s="74">
        <v>77.78</v>
      </c>
      <c r="I46" s="74">
        <v>50</v>
      </c>
      <c r="J46" s="155">
        <v>6665</v>
      </c>
      <c r="K46" s="74">
        <v>71.430000000000007</v>
      </c>
      <c r="L46" s="74">
        <v>64.86</v>
      </c>
      <c r="M46" s="74">
        <v>75.86</v>
      </c>
      <c r="N46" s="74">
        <v>62.860000000000007</v>
      </c>
      <c r="O46" s="74">
        <v>59.5</v>
      </c>
      <c r="P46" s="74">
        <v>56.779999999999994</v>
      </c>
      <c r="Q46" s="155">
        <v>4165</v>
      </c>
    </row>
    <row r="47" spans="1:17" x14ac:dyDescent="0.25">
      <c r="A47">
        <v>2015</v>
      </c>
      <c r="B47" s="6">
        <v>6</v>
      </c>
      <c r="C47" s="5" t="str">
        <f t="shared" si="0"/>
        <v>6_2015</v>
      </c>
      <c r="D47" s="74">
        <f>0.8487*100</f>
        <v>84.87</v>
      </c>
      <c r="E47" s="74">
        <v>90</v>
      </c>
      <c r="F47" s="155">
        <v>7575</v>
      </c>
      <c r="G47" s="74">
        <v>88.3</v>
      </c>
      <c r="H47" s="74">
        <v>85.71</v>
      </c>
      <c r="I47" s="74">
        <v>70</v>
      </c>
      <c r="J47" s="155">
        <v>6414.5</v>
      </c>
      <c r="K47" s="74">
        <v>64.710000000000008</v>
      </c>
      <c r="L47" s="74">
        <v>78</v>
      </c>
      <c r="M47" s="74">
        <v>62.5</v>
      </c>
      <c r="N47" s="74">
        <v>62.79</v>
      </c>
      <c r="O47" s="74">
        <v>63.18</v>
      </c>
      <c r="P47" s="74">
        <v>61.519999999999996</v>
      </c>
      <c r="Q47" s="155">
        <v>4353.5</v>
      </c>
    </row>
    <row r="48" spans="1:17" x14ac:dyDescent="0.25">
      <c r="A48">
        <v>2016</v>
      </c>
      <c r="B48" s="6">
        <v>6</v>
      </c>
      <c r="C48" s="5" t="str">
        <f t="shared" si="0"/>
        <v>6_2016</v>
      </c>
      <c r="D48" s="74">
        <f>0.829268292682927*100</f>
        <v>82.926829268292707</v>
      </c>
      <c r="E48" s="74">
        <v>84.536082474226802</v>
      </c>
      <c r="F48" s="155">
        <v>8272</v>
      </c>
      <c r="G48" s="74">
        <v>0</v>
      </c>
      <c r="H48" s="74">
        <v>93.75</v>
      </c>
      <c r="I48" s="74">
        <v>68.421052631578945</v>
      </c>
      <c r="J48" s="155">
        <v>9584</v>
      </c>
      <c r="K48" s="74">
        <v>0</v>
      </c>
      <c r="L48" s="74">
        <v>78.125</v>
      </c>
      <c r="M48" s="74">
        <v>80</v>
      </c>
      <c r="N48" s="74">
        <v>0</v>
      </c>
      <c r="O48" s="74">
        <v>60.248824154149595</v>
      </c>
      <c r="P48" s="74">
        <v>58.266740148801318</v>
      </c>
      <c r="Q48" s="155">
        <v>5011</v>
      </c>
    </row>
    <row r="49" spans="1:17" x14ac:dyDescent="0.25">
      <c r="A49">
        <v>2017</v>
      </c>
      <c r="B49" s="6">
        <v>6</v>
      </c>
      <c r="C49" s="5" t="str">
        <f t="shared" si="0"/>
        <v>6_2017</v>
      </c>
      <c r="D49" s="136">
        <v>95.3</v>
      </c>
      <c r="E49" s="136">
        <v>93.1</v>
      </c>
      <c r="F49" s="136">
        <v>9710</v>
      </c>
      <c r="G49" s="136">
        <v>92.3</v>
      </c>
      <c r="H49" s="74">
        <v>100</v>
      </c>
      <c r="I49" s="136">
        <v>100</v>
      </c>
      <c r="J49" s="136">
        <v>8169</v>
      </c>
      <c r="K49" s="136">
        <v>100</v>
      </c>
      <c r="L49" s="136">
        <v>75.7</v>
      </c>
      <c r="M49" s="136">
        <v>78.599999999999994</v>
      </c>
      <c r="N49" s="136">
        <v>68</v>
      </c>
      <c r="O49" s="136">
        <v>68.599999999999994</v>
      </c>
      <c r="P49" s="136">
        <v>67.599999999999994</v>
      </c>
      <c r="Q49" s="136">
        <v>4302</v>
      </c>
    </row>
    <row r="50" spans="1:17" x14ac:dyDescent="0.25">
      <c r="A50" s="14">
        <v>20181</v>
      </c>
      <c r="B50" s="6">
        <v>6</v>
      </c>
      <c r="C50" s="5" t="str">
        <f t="shared" si="0"/>
        <v>6_20181</v>
      </c>
      <c r="D50" s="74">
        <v>96.55</v>
      </c>
      <c r="E50" s="74">
        <v>92.31</v>
      </c>
      <c r="F50" s="157">
        <v>8558</v>
      </c>
      <c r="G50" s="158">
        <v>88.888999999999996</v>
      </c>
      <c r="H50" s="159">
        <v>100</v>
      </c>
      <c r="I50" s="159">
        <v>80</v>
      </c>
      <c r="J50" s="157">
        <v>8177</v>
      </c>
      <c r="K50" s="158">
        <v>100</v>
      </c>
      <c r="L50" s="159">
        <v>84.210999999999999</v>
      </c>
      <c r="M50" s="159">
        <v>77.143000000000001</v>
      </c>
      <c r="N50" s="159">
        <v>56.25</v>
      </c>
      <c r="O50" s="159">
        <v>68.680999999999997</v>
      </c>
      <c r="P50" s="159">
        <v>67.150000000000006</v>
      </c>
      <c r="Q50" s="157">
        <v>4340</v>
      </c>
    </row>
    <row r="51" spans="1:17" x14ac:dyDescent="0.25">
      <c r="A51">
        <v>2011</v>
      </c>
      <c r="B51" s="6">
        <v>7</v>
      </c>
      <c r="C51" s="5" t="str">
        <f t="shared" si="0"/>
        <v>7_2011</v>
      </c>
      <c r="D51" s="74">
        <f>0.9597*100</f>
        <v>95.97</v>
      </c>
      <c r="E51" s="74">
        <v>80</v>
      </c>
      <c r="F51" s="155">
        <v>9036.5</v>
      </c>
      <c r="G51" s="74">
        <v>96.72</v>
      </c>
      <c r="H51" s="74">
        <v>84.850000000000009</v>
      </c>
      <c r="I51" s="74">
        <v>75</v>
      </c>
      <c r="J51" s="155">
        <v>6947</v>
      </c>
      <c r="K51" s="74">
        <v>70</v>
      </c>
      <c r="L51" s="74">
        <v>65</v>
      </c>
      <c r="M51" s="74">
        <v>48.65</v>
      </c>
      <c r="N51" s="74">
        <v>92.31</v>
      </c>
      <c r="O51" s="74">
        <v>0</v>
      </c>
      <c r="P51" s="74">
        <v>0</v>
      </c>
      <c r="Q51" s="156">
        <v>0</v>
      </c>
    </row>
    <row r="52" spans="1:17" x14ac:dyDescent="0.25">
      <c r="A52">
        <v>2012</v>
      </c>
      <c r="B52" s="6">
        <v>7</v>
      </c>
      <c r="C52" s="5" t="str">
        <f t="shared" si="0"/>
        <v>7_2012</v>
      </c>
      <c r="D52" s="74">
        <f>0.9815*100</f>
        <v>98.15</v>
      </c>
      <c r="E52" s="74">
        <v>94.78</v>
      </c>
      <c r="F52" s="155">
        <v>8581</v>
      </c>
      <c r="G52" s="74">
        <v>100</v>
      </c>
      <c r="H52" s="74">
        <v>95</v>
      </c>
      <c r="I52" s="74">
        <v>86.960000000000008</v>
      </c>
      <c r="J52" s="155">
        <v>6622</v>
      </c>
      <c r="K52" s="74">
        <v>72.22</v>
      </c>
      <c r="L52" s="74">
        <v>51.519999999999996</v>
      </c>
      <c r="M52" s="74">
        <v>65.22</v>
      </c>
      <c r="N52" s="74">
        <v>90.63</v>
      </c>
      <c r="O52" s="74">
        <v>54.339999999999996</v>
      </c>
      <c r="P52" s="74">
        <v>48.870000000000005</v>
      </c>
      <c r="Q52" s="155">
        <v>4342</v>
      </c>
    </row>
    <row r="53" spans="1:17" x14ac:dyDescent="0.25">
      <c r="A53">
        <v>2013</v>
      </c>
      <c r="B53" s="6">
        <v>7</v>
      </c>
      <c r="C53" s="5" t="str">
        <f t="shared" si="0"/>
        <v>7_2013</v>
      </c>
      <c r="D53" s="74">
        <f>0.9744*100</f>
        <v>97.44</v>
      </c>
      <c r="E53" s="74">
        <v>95.92</v>
      </c>
      <c r="F53" s="155">
        <v>9723</v>
      </c>
      <c r="G53" s="74">
        <v>91.18</v>
      </c>
      <c r="H53" s="74">
        <v>100</v>
      </c>
      <c r="I53" s="74">
        <v>96</v>
      </c>
      <c r="J53" s="155">
        <v>8903.5</v>
      </c>
      <c r="K53" s="74">
        <v>83.33</v>
      </c>
      <c r="L53" s="74">
        <v>67.739999999999995</v>
      </c>
      <c r="M53" s="74">
        <v>61.539999999999992</v>
      </c>
      <c r="N53" s="74">
        <v>82.26</v>
      </c>
      <c r="O53" s="74">
        <v>54.81</v>
      </c>
      <c r="P53" s="74">
        <v>53.55</v>
      </c>
      <c r="Q53" s="155">
        <v>4071</v>
      </c>
    </row>
    <row r="54" spans="1:17" x14ac:dyDescent="0.25">
      <c r="A54">
        <v>2014</v>
      </c>
      <c r="B54" s="6">
        <v>7</v>
      </c>
      <c r="C54" s="5" t="str">
        <f t="shared" si="0"/>
        <v>7_2014</v>
      </c>
      <c r="D54" s="74">
        <f>0.8265*100</f>
        <v>82.65</v>
      </c>
      <c r="E54" s="74">
        <v>77.27000000000001</v>
      </c>
      <c r="F54" s="155">
        <v>8347</v>
      </c>
      <c r="G54" s="74">
        <v>68.42</v>
      </c>
      <c r="H54" s="74">
        <v>45</v>
      </c>
      <c r="I54" s="74">
        <v>52.17</v>
      </c>
      <c r="J54" s="155">
        <v>6767</v>
      </c>
      <c r="K54" s="74">
        <v>66.67</v>
      </c>
      <c r="L54" s="74">
        <v>55.559999999999995</v>
      </c>
      <c r="M54" s="74">
        <v>54.37</v>
      </c>
      <c r="N54" s="74">
        <v>43.82</v>
      </c>
      <c r="O54" s="74">
        <v>60.699999999999996</v>
      </c>
      <c r="P54" s="74">
        <v>57.509999999999991</v>
      </c>
      <c r="Q54" s="155">
        <v>4095</v>
      </c>
    </row>
    <row r="55" spans="1:17" x14ac:dyDescent="0.25">
      <c r="A55">
        <v>2015</v>
      </c>
      <c r="B55" s="6">
        <v>7</v>
      </c>
      <c r="C55" s="5" t="str">
        <f t="shared" si="0"/>
        <v>7_2015</v>
      </c>
      <c r="D55" s="74">
        <f>0.9796*100</f>
        <v>97.960000000000008</v>
      </c>
      <c r="E55" s="74">
        <v>92.31</v>
      </c>
      <c r="F55" s="155">
        <v>8467.5</v>
      </c>
      <c r="G55" s="74">
        <v>97.61999999999999</v>
      </c>
      <c r="H55" s="74">
        <v>100</v>
      </c>
      <c r="I55" s="74">
        <v>100</v>
      </c>
      <c r="J55" s="155">
        <v>9658</v>
      </c>
      <c r="K55" s="74">
        <v>100</v>
      </c>
      <c r="L55" s="74">
        <v>82.14</v>
      </c>
      <c r="M55" s="74">
        <v>62.860000000000007</v>
      </c>
      <c r="N55" s="74">
        <v>46.43</v>
      </c>
      <c r="O55" s="74">
        <v>62.82</v>
      </c>
      <c r="P55" s="74">
        <v>61.94</v>
      </c>
      <c r="Q55" s="155">
        <v>4050</v>
      </c>
    </row>
    <row r="56" spans="1:17" x14ac:dyDescent="0.25">
      <c r="A56">
        <v>2016</v>
      </c>
      <c r="B56" s="6">
        <v>7</v>
      </c>
      <c r="C56" s="5" t="str">
        <f t="shared" si="0"/>
        <v>7_2016</v>
      </c>
      <c r="D56" s="74">
        <f>0.961538461538462*100</f>
        <v>96.153846153846203</v>
      </c>
      <c r="E56" s="74">
        <v>91.304347826086953</v>
      </c>
      <c r="F56" s="155">
        <v>8986</v>
      </c>
      <c r="G56" s="74">
        <v>0</v>
      </c>
      <c r="H56" s="74">
        <v>100</v>
      </c>
      <c r="I56" s="74">
        <v>100</v>
      </c>
      <c r="J56" s="155">
        <v>11497</v>
      </c>
      <c r="K56" s="74">
        <v>0</v>
      </c>
      <c r="L56" s="74">
        <v>78.181818181818187</v>
      </c>
      <c r="M56" s="74">
        <v>74.193548387096769</v>
      </c>
      <c r="N56" s="74">
        <v>0</v>
      </c>
      <c r="O56" s="74">
        <v>62.368590431237934</v>
      </c>
      <c r="P56" s="74">
        <v>61.21776226488268</v>
      </c>
      <c r="Q56" s="155">
        <v>4628</v>
      </c>
    </row>
    <row r="57" spans="1:17" x14ac:dyDescent="0.25">
      <c r="A57">
        <v>2017</v>
      </c>
      <c r="B57" s="6">
        <v>7</v>
      </c>
      <c r="C57" s="5" t="str">
        <f t="shared" si="0"/>
        <v>7_2017</v>
      </c>
      <c r="D57" s="136">
        <v>96.8</v>
      </c>
      <c r="E57" s="136">
        <v>90.5</v>
      </c>
      <c r="F57" s="136">
        <v>10151</v>
      </c>
      <c r="G57" s="136">
        <v>90</v>
      </c>
      <c r="H57" s="74">
        <v>100</v>
      </c>
      <c r="I57" s="74">
        <v>0</v>
      </c>
      <c r="J57" s="136">
        <v>9826</v>
      </c>
      <c r="K57" s="74">
        <v>0</v>
      </c>
      <c r="L57" s="136">
        <v>83.6</v>
      </c>
      <c r="M57" s="136">
        <v>79.400000000000006</v>
      </c>
      <c r="N57" s="136">
        <v>64.7</v>
      </c>
      <c r="O57" s="136">
        <v>66.400000000000006</v>
      </c>
      <c r="P57" s="136">
        <v>66.400000000000006</v>
      </c>
      <c r="Q57" s="136">
        <v>3900</v>
      </c>
    </row>
    <row r="58" spans="1:17" x14ac:dyDescent="0.25">
      <c r="A58" s="14">
        <v>20181</v>
      </c>
      <c r="B58" s="6">
        <v>7</v>
      </c>
      <c r="C58" s="5" t="str">
        <f t="shared" si="0"/>
        <v>7_20181</v>
      </c>
      <c r="D58" s="74">
        <v>97.44</v>
      </c>
      <c r="E58" s="74">
        <v>91.67</v>
      </c>
      <c r="F58" s="157">
        <v>8348</v>
      </c>
      <c r="G58" s="158">
        <v>78.260999999999996</v>
      </c>
      <c r="H58" s="159">
        <v>100</v>
      </c>
      <c r="I58" s="159">
        <v>0</v>
      </c>
      <c r="J58" s="157">
        <v>9826</v>
      </c>
      <c r="K58" s="158">
        <v>0</v>
      </c>
      <c r="L58" s="159">
        <v>81.69</v>
      </c>
      <c r="M58" s="159">
        <v>78.430999999999997</v>
      </c>
      <c r="N58" s="159">
        <v>57.999999999999993</v>
      </c>
      <c r="O58" s="159">
        <v>65.856999999999999</v>
      </c>
      <c r="P58" s="159">
        <v>65.177999999999997</v>
      </c>
      <c r="Q58" s="157">
        <v>3987</v>
      </c>
    </row>
    <row r="59" spans="1:17" x14ac:dyDescent="0.25">
      <c r="A59">
        <v>2011</v>
      </c>
      <c r="B59" s="6">
        <v>8</v>
      </c>
      <c r="C59" s="5" t="str">
        <f t="shared" si="0"/>
        <v>8_2011</v>
      </c>
      <c r="D59" s="74">
        <f>0.8992*100</f>
        <v>89.92</v>
      </c>
      <c r="E59" s="74">
        <v>88.5</v>
      </c>
      <c r="F59" s="155">
        <v>9583</v>
      </c>
      <c r="G59" s="74">
        <v>96.12</v>
      </c>
      <c r="H59" s="74">
        <v>82.38</v>
      </c>
      <c r="I59" s="74">
        <v>71.7</v>
      </c>
      <c r="J59" s="155">
        <v>7933.5</v>
      </c>
      <c r="K59" s="74">
        <v>86.72999999999999</v>
      </c>
      <c r="L59" s="74">
        <v>51.65</v>
      </c>
      <c r="M59" s="74">
        <v>53.47</v>
      </c>
      <c r="N59" s="74">
        <v>80.97999999999999</v>
      </c>
      <c r="O59" s="74">
        <v>0</v>
      </c>
      <c r="P59" s="74">
        <v>0</v>
      </c>
      <c r="Q59" s="156">
        <v>0</v>
      </c>
    </row>
    <row r="60" spans="1:17" x14ac:dyDescent="0.25">
      <c r="A60">
        <v>2012</v>
      </c>
      <c r="B60" s="6">
        <v>8</v>
      </c>
      <c r="C60" s="5" t="str">
        <f t="shared" si="0"/>
        <v>8_2012</v>
      </c>
      <c r="D60" s="74">
        <f>0.9105*100</f>
        <v>91.05</v>
      </c>
      <c r="E60" s="74">
        <v>83.03</v>
      </c>
      <c r="F60" s="155">
        <v>10306</v>
      </c>
      <c r="G60" s="74">
        <v>96.27</v>
      </c>
      <c r="H60" s="74">
        <v>83.72</v>
      </c>
      <c r="I60" s="74">
        <v>76.13</v>
      </c>
      <c r="J60" s="155">
        <v>7857</v>
      </c>
      <c r="K60" s="74">
        <v>88.64</v>
      </c>
      <c r="L60" s="74">
        <v>45.56</v>
      </c>
      <c r="M60" s="74">
        <v>56.730000000000004</v>
      </c>
      <c r="N60" s="74">
        <v>71.89</v>
      </c>
      <c r="O60" s="74">
        <v>52.92</v>
      </c>
      <c r="P60" s="74">
        <v>50.080000000000005</v>
      </c>
      <c r="Q60" s="155">
        <v>4229</v>
      </c>
    </row>
    <row r="61" spans="1:17" x14ac:dyDescent="0.25">
      <c r="A61">
        <v>2013</v>
      </c>
      <c r="B61" s="6">
        <v>8</v>
      </c>
      <c r="C61" s="5" t="str">
        <f t="shared" si="0"/>
        <v>8_2013</v>
      </c>
      <c r="D61" s="74">
        <f>0.9096*100</f>
        <v>90.96</v>
      </c>
      <c r="E61" s="74">
        <v>87.26</v>
      </c>
      <c r="F61" s="155">
        <v>10006</v>
      </c>
      <c r="G61" s="74">
        <v>94.08</v>
      </c>
      <c r="H61" s="74">
        <v>84.33</v>
      </c>
      <c r="I61" s="74">
        <v>77.3</v>
      </c>
      <c r="J61" s="155">
        <v>7377</v>
      </c>
      <c r="K61" s="74">
        <v>83.93</v>
      </c>
      <c r="L61" s="74">
        <v>48.93</v>
      </c>
      <c r="M61" s="74">
        <v>49.25</v>
      </c>
      <c r="N61" s="74">
        <v>71.569999999999993</v>
      </c>
      <c r="O61" s="74">
        <v>54.97</v>
      </c>
      <c r="P61" s="74">
        <v>54.65</v>
      </c>
      <c r="Q61" s="155">
        <v>4232</v>
      </c>
    </row>
    <row r="62" spans="1:17" x14ac:dyDescent="0.25">
      <c r="A62">
        <v>2014</v>
      </c>
      <c r="B62" s="6">
        <v>8</v>
      </c>
      <c r="C62" s="5" t="str">
        <f t="shared" si="0"/>
        <v>8_2014</v>
      </c>
      <c r="D62" s="74">
        <f>0.9149*100</f>
        <v>91.490000000000009</v>
      </c>
      <c r="E62" s="74">
        <v>84.89</v>
      </c>
      <c r="F62" s="155">
        <v>9531</v>
      </c>
      <c r="G62" s="74">
        <v>90.69</v>
      </c>
      <c r="H62" s="74">
        <v>78.649999999999991</v>
      </c>
      <c r="I62" s="74">
        <v>74.099999999999994</v>
      </c>
      <c r="J62" s="155">
        <v>8119</v>
      </c>
      <c r="K62" s="74">
        <v>81.61</v>
      </c>
      <c r="L62" s="74">
        <v>50.739999999999995</v>
      </c>
      <c r="M62" s="74">
        <v>61.129999999999995</v>
      </c>
      <c r="N62" s="74">
        <v>61.919999999999995</v>
      </c>
      <c r="O62" s="74">
        <v>60.160000000000004</v>
      </c>
      <c r="P62" s="74">
        <v>58.919999999999995</v>
      </c>
      <c r="Q62" s="155">
        <v>4363</v>
      </c>
    </row>
    <row r="63" spans="1:17" x14ac:dyDescent="0.25">
      <c r="A63">
        <v>2015</v>
      </c>
      <c r="B63" s="6">
        <v>8</v>
      </c>
      <c r="C63" s="5" t="str">
        <f t="shared" si="0"/>
        <v>8_2015</v>
      </c>
      <c r="D63" s="74">
        <f>0.8891*100</f>
        <v>88.91</v>
      </c>
      <c r="E63" s="74">
        <v>86.61999999999999</v>
      </c>
      <c r="F63" s="155">
        <v>10020</v>
      </c>
      <c r="G63" s="74">
        <v>92.56</v>
      </c>
      <c r="H63" s="74">
        <v>74.900000000000006</v>
      </c>
      <c r="I63" s="74">
        <v>69.58</v>
      </c>
      <c r="J63" s="155">
        <v>7217.5</v>
      </c>
      <c r="K63" s="74">
        <v>81.11</v>
      </c>
      <c r="L63" s="74">
        <v>57.509999999999991</v>
      </c>
      <c r="M63" s="74">
        <v>56.58</v>
      </c>
      <c r="N63" s="74">
        <v>72.06</v>
      </c>
      <c r="O63" s="74">
        <v>64.429999999999993</v>
      </c>
      <c r="P63" s="74">
        <v>63.470000000000006</v>
      </c>
      <c r="Q63" s="155">
        <v>4596.5</v>
      </c>
    </row>
    <row r="64" spans="1:17" x14ac:dyDescent="0.25">
      <c r="A64">
        <v>2016</v>
      </c>
      <c r="B64" s="6">
        <v>8</v>
      </c>
      <c r="C64" s="5" t="str">
        <f t="shared" si="0"/>
        <v>8_2016</v>
      </c>
      <c r="D64" s="74">
        <f>0.886130136986301*100</f>
        <v>88.613013698630112</v>
      </c>
      <c r="E64" s="74">
        <v>88.079019073569484</v>
      </c>
      <c r="F64" s="155">
        <v>10803</v>
      </c>
      <c r="G64" s="74">
        <v>0</v>
      </c>
      <c r="H64" s="74">
        <v>74.324324324324323</v>
      </c>
      <c r="I64" s="74">
        <v>73.891625615763544</v>
      </c>
      <c r="J64" s="155">
        <v>9002</v>
      </c>
      <c r="K64" s="74">
        <v>0</v>
      </c>
      <c r="L64" s="74">
        <v>57.610241820768138</v>
      </c>
      <c r="M64" s="74">
        <v>65.846994535519116</v>
      </c>
      <c r="N64" s="74">
        <v>0</v>
      </c>
      <c r="O64" s="74">
        <v>65.995821430094225</v>
      </c>
      <c r="P64" s="74">
        <v>64.561009626832671</v>
      </c>
      <c r="Q64" s="155">
        <v>5804</v>
      </c>
    </row>
    <row r="65" spans="1:17" x14ac:dyDescent="0.25">
      <c r="A65">
        <v>2017</v>
      </c>
      <c r="B65" s="6">
        <v>8</v>
      </c>
      <c r="C65" s="5" t="str">
        <f t="shared" si="0"/>
        <v>8_2017</v>
      </c>
      <c r="D65" s="136">
        <v>97.9</v>
      </c>
      <c r="E65" s="136">
        <v>95.8</v>
      </c>
      <c r="F65" s="136">
        <v>12501</v>
      </c>
      <c r="G65" s="136">
        <v>89.6</v>
      </c>
      <c r="H65" s="136">
        <v>85.7</v>
      </c>
      <c r="I65" s="136">
        <v>88.5</v>
      </c>
      <c r="J65" s="136">
        <v>8107</v>
      </c>
      <c r="K65" s="136">
        <v>88</v>
      </c>
      <c r="L65" s="136">
        <v>84.8</v>
      </c>
      <c r="M65" s="136">
        <v>80.900000000000006</v>
      </c>
      <c r="N65" s="136">
        <v>89.6</v>
      </c>
      <c r="O65" s="136">
        <v>72.8</v>
      </c>
      <c r="P65" s="136">
        <v>73.900000000000006</v>
      </c>
      <c r="Q65" s="136">
        <v>5950</v>
      </c>
    </row>
    <row r="66" spans="1:17" x14ac:dyDescent="0.25">
      <c r="A66" s="14">
        <v>20181</v>
      </c>
      <c r="B66" s="6">
        <v>8</v>
      </c>
      <c r="C66" s="5" t="str">
        <f t="shared" si="0"/>
        <v>8_20181</v>
      </c>
      <c r="D66" s="74">
        <v>98.05</v>
      </c>
      <c r="E66" s="74">
        <v>96.88</v>
      </c>
      <c r="F66" s="157">
        <v>12422</v>
      </c>
      <c r="G66" s="158">
        <v>90.13600000000001</v>
      </c>
      <c r="H66" s="159">
        <v>84.847999999999999</v>
      </c>
      <c r="I66" s="159">
        <v>86.667000000000002</v>
      </c>
      <c r="J66" s="157">
        <v>7023</v>
      </c>
      <c r="K66" s="158">
        <v>82.759</v>
      </c>
      <c r="L66" s="159">
        <v>85.668999999999997</v>
      </c>
      <c r="M66" s="159">
        <v>83.42</v>
      </c>
      <c r="N66" s="159">
        <v>85.417000000000002</v>
      </c>
      <c r="O66" s="159">
        <v>71.741</v>
      </c>
      <c r="P66" s="159">
        <v>72.421999999999997</v>
      </c>
      <c r="Q66" s="157">
        <v>5564</v>
      </c>
    </row>
    <row r="67" spans="1:17" x14ac:dyDescent="0.25">
      <c r="A67">
        <v>2011</v>
      </c>
      <c r="B67" s="6">
        <v>9</v>
      </c>
      <c r="C67" s="5" t="str">
        <f t="shared" si="0"/>
        <v>9_2011</v>
      </c>
      <c r="D67" s="74">
        <f>0.8344*100</f>
        <v>83.44</v>
      </c>
      <c r="E67" s="74">
        <v>82.289999999999992</v>
      </c>
      <c r="F67" s="155">
        <v>6845</v>
      </c>
      <c r="G67" s="74">
        <v>85.960000000000008</v>
      </c>
      <c r="H67" s="74">
        <v>71.77</v>
      </c>
      <c r="I67" s="74">
        <v>74.58</v>
      </c>
      <c r="J67" s="155">
        <v>7509.5</v>
      </c>
      <c r="K67" s="74">
        <v>80</v>
      </c>
      <c r="L67" s="74">
        <v>51.790000000000006</v>
      </c>
      <c r="M67" s="74">
        <v>48.94</v>
      </c>
      <c r="N67" s="74">
        <v>62.38</v>
      </c>
      <c r="O67" s="74">
        <v>0</v>
      </c>
      <c r="P67" s="74">
        <v>0</v>
      </c>
      <c r="Q67" s="156">
        <v>0</v>
      </c>
    </row>
    <row r="68" spans="1:17" x14ac:dyDescent="0.25">
      <c r="A68">
        <v>2012</v>
      </c>
      <c r="B68" s="6">
        <v>9</v>
      </c>
      <c r="C68" s="5" t="str">
        <f t="shared" si="0"/>
        <v>9_2012</v>
      </c>
      <c r="D68" s="74">
        <f>0.8539*100</f>
        <v>85.39</v>
      </c>
      <c r="E68" s="74">
        <v>80.41</v>
      </c>
      <c r="F68" s="155">
        <v>6073</v>
      </c>
      <c r="G68" s="74">
        <v>84</v>
      </c>
      <c r="H68" s="74">
        <v>72.58</v>
      </c>
      <c r="I68" s="74">
        <v>61.539999999999992</v>
      </c>
      <c r="J68" s="155">
        <v>6308</v>
      </c>
      <c r="K68" s="74">
        <v>55.559999999999995</v>
      </c>
      <c r="L68" s="74">
        <v>57.36</v>
      </c>
      <c r="M68" s="74">
        <v>62.12</v>
      </c>
      <c r="N68" s="74">
        <v>84.960000000000008</v>
      </c>
      <c r="O68" s="74">
        <v>57.89</v>
      </c>
      <c r="P68" s="74">
        <v>52.23</v>
      </c>
      <c r="Q68" s="155">
        <v>4574</v>
      </c>
    </row>
    <row r="69" spans="1:17" x14ac:dyDescent="0.25">
      <c r="A69">
        <v>2013</v>
      </c>
      <c r="B69" s="6">
        <v>9</v>
      </c>
      <c r="C69" s="5" t="str">
        <f t="shared" si="0"/>
        <v>9_2013</v>
      </c>
      <c r="D69" s="74">
        <f>0.8118*100</f>
        <v>81.179999999999993</v>
      </c>
      <c r="E69" s="74">
        <v>71.05</v>
      </c>
      <c r="F69" s="155">
        <v>9039.5</v>
      </c>
      <c r="G69" s="74">
        <v>88.89</v>
      </c>
      <c r="H69" s="74">
        <v>85.71</v>
      </c>
      <c r="I69" s="74">
        <v>56.52</v>
      </c>
      <c r="J69" s="155">
        <v>9834.5</v>
      </c>
      <c r="K69" s="74">
        <v>83.33</v>
      </c>
      <c r="L69" s="74">
        <v>60.629999999999995</v>
      </c>
      <c r="M69" s="74">
        <v>51.28</v>
      </c>
      <c r="N69" s="74">
        <v>63.249999999999993</v>
      </c>
      <c r="O69" s="74">
        <v>76.62</v>
      </c>
      <c r="P69" s="74">
        <v>70.67</v>
      </c>
      <c r="Q69" s="155">
        <v>4776</v>
      </c>
    </row>
    <row r="70" spans="1:17" x14ac:dyDescent="0.25">
      <c r="A70">
        <v>2014</v>
      </c>
      <c r="B70" s="6">
        <v>9</v>
      </c>
      <c r="C70" s="5" t="str">
        <f t="shared" si="0"/>
        <v>9_2014</v>
      </c>
      <c r="D70" s="74">
        <f>0.9096*100</f>
        <v>90.96</v>
      </c>
      <c r="E70" s="74">
        <v>80.31</v>
      </c>
      <c r="F70" s="155">
        <v>7172.5</v>
      </c>
      <c r="G70" s="74">
        <v>78.290000000000006</v>
      </c>
      <c r="H70" s="74">
        <v>84.61999999999999</v>
      </c>
      <c r="I70" s="74">
        <v>77.42</v>
      </c>
      <c r="J70" s="155">
        <v>8987</v>
      </c>
      <c r="K70" s="74">
        <v>82.35</v>
      </c>
      <c r="L70" s="74">
        <v>57.499999999999993</v>
      </c>
      <c r="M70" s="74">
        <v>53.779999999999994</v>
      </c>
      <c r="N70" s="74">
        <v>61.539999999999992</v>
      </c>
      <c r="O70" s="74">
        <v>81.22</v>
      </c>
      <c r="P70" s="74">
        <v>77.290000000000006</v>
      </c>
      <c r="Q70" s="155">
        <v>4877</v>
      </c>
    </row>
    <row r="71" spans="1:17" x14ac:dyDescent="0.25">
      <c r="A71">
        <v>2015</v>
      </c>
      <c r="B71" s="6">
        <v>9</v>
      </c>
      <c r="C71" s="5" t="str">
        <f t="shared" si="0"/>
        <v>9_2015</v>
      </c>
      <c r="D71" s="74">
        <f>0.7133*100</f>
        <v>71.33</v>
      </c>
      <c r="E71" s="74">
        <v>64.42</v>
      </c>
      <c r="F71" s="155">
        <v>9226</v>
      </c>
      <c r="G71" s="74">
        <v>81.430000000000007</v>
      </c>
      <c r="H71" s="74">
        <v>69.23</v>
      </c>
      <c r="I71" s="74">
        <v>52.78</v>
      </c>
      <c r="J71" s="155">
        <v>9094.5</v>
      </c>
      <c r="K71" s="74">
        <v>84.78</v>
      </c>
      <c r="L71" s="74">
        <v>49.519999999999996</v>
      </c>
      <c r="M71" s="74">
        <v>48.480000000000004</v>
      </c>
      <c r="N71" s="74">
        <v>62</v>
      </c>
      <c r="O71" s="74">
        <v>60.319999999999993</v>
      </c>
      <c r="P71" s="74">
        <v>60.46</v>
      </c>
      <c r="Q71" s="155">
        <v>5228</v>
      </c>
    </row>
    <row r="72" spans="1:17" x14ac:dyDescent="0.25">
      <c r="A72">
        <v>2016</v>
      </c>
      <c r="B72" s="6">
        <v>9</v>
      </c>
      <c r="C72" s="5" t="str">
        <f t="shared" si="0"/>
        <v>9_2016</v>
      </c>
      <c r="D72" s="74">
        <f>0.868613138686131*100</f>
        <v>86.861313868613095</v>
      </c>
      <c r="E72" s="74">
        <v>61.851851851851848</v>
      </c>
      <c r="F72" s="155">
        <v>8741</v>
      </c>
      <c r="G72" s="74">
        <v>0</v>
      </c>
      <c r="H72" s="74">
        <v>80.555555555555557</v>
      </c>
      <c r="I72" s="74">
        <v>57.534246575342465</v>
      </c>
      <c r="J72" s="155">
        <v>13234</v>
      </c>
      <c r="K72" s="74">
        <v>0</v>
      </c>
      <c r="L72" s="74">
        <v>75.324675324675326</v>
      </c>
      <c r="M72" s="74">
        <v>57.798165137614674</v>
      </c>
      <c r="N72" s="74">
        <v>0</v>
      </c>
      <c r="O72" s="74">
        <v>65.015445719329207</v>
      </c>
      <c r="P72" s="74">
        <v>54.222180521673856</v>
      </c>
      <c r="Q72" s="155">
        <v>5995</v>
      </c>
    </row>
    <row r="73" spans="1:17" x14ac:dyDescent="0.25">
      <c r="A73">
        <v>2017</v>
      </c>
      <c r="B73" s="6">
        <v>9</v>
      </c>
      <c r="C73" s="5" t="str">
        <f t="shared" si="0"/>
        <v>9_2017</v>
      </c>
      <c r="D73" s="136">
        <v>89.6</v>
      </c>
      <c r="E73" s="136">
        <v>95.8</v>
      </c>
      <c r="F73" s="136">
        <v>10000</v>
      </c>
      <c r="G73" s="136">
        <v>80</v>
      </c>
      <c r="H73" s="136">
        <v>60</v>
      </c>
      <c r="I73" s="74">
        <v>100</v>
      </c>
      <c r="J73" s="136">
        <v>11566</v>
      </c>
      <c r="K73" s="74">
        <v>0</v>
      </c>
      <c r="L73" s="136">
        <v>88.5</v>
      </c>
      <c r="M73" s="136">
        <v>85.7</v>
      </c>
      <c r="N73" s="136">
        <v>90.5</v>
      </c>
      <c r="O73" s="136">
        <v>76.2</v>
      </c>
      <c r="P73" s="136">
        <v>73.099999999999994</v>
      </c>
      <c r="Q73" s="136">
        <v>4956</v>
      </c>
    </row>
    <row r="74" spans="1:17" x14ac:dyDescent="0.25">
      <c r="A74" s="14">
        <v>20181</v>
      </c>
      <c r="B74" s="6">
        <v>9</v>
      </c>
      <c r="C74" s="5" t="str">
        <f t="shared" si="0"/>
        <v>9_20181</v>
      </c>
      <c r="D74" s="74">
        <v>93.1</v>
      </c>
      <c r="E74" s="74">
        <v>95.83</v>
      </c>
      <c r="F74" s="157">
        <v>9853</v>
      </c>
      <c r="G74" s="158">
        <v>86.841999999999999</v>
      </c>
      <c r="H74" s="159">
        <v>75</v>
      </c>
      <c r="I74" s="159">
        <v>100</v>
      </c>
      <c r="J74" s="157">
        <v>11566</v>
      </c>
      <c r="K74" s="158">
        <v>100</v>
      </c>
      <c r="L74" s="159">
        <v>76.388999999999996</v>
      </c>
      <c r="M74" s="159">
        <v>80</v>
      </c>
      <c r="N74" s="159">
        <v>92</v>
      </c>
      <c r="O74" s="159">
        <v>77.753</v>
      </c>
      <c r="P74" s="159">
        <v>73.556999999999988</v>
      </c>
      <c r="Q74" s="157">
        <v>4872</v>
      </c>
    </row>
    <row r="75" spans="1:17" x14ac:dyDescent="0.25">
      <c r="A75">
        <v>2011</v>
      </c>
      <c r="B75" s="6">
        <v>10</v>
      </c>
      <c r="C75" s="5" t="str">
        <f t="shared" si="0"/>
        <v>10_2011</v>
      </c>
      <c r="D75" s="74">
        <f>0.8501*100</f>
        <v>85.009999999999991</v>
      </c>
      <c r="E75" s="74">
        <v>79.56</v>
      </c>
      <c r="F75" s="155">
        <v>7107</v>
      </c>
      <c r="G75" s="74">
        <v>82.85</v>
      </c>
      <c r="H75" s="74">
        <v>86.63</v>
      </c>
      <c r="I75" s="74">
        <v>82.820000000000007</v>
      </c>
      <c r="J75" s="155">
        <v>5917</v>
      </c>
      <c r="K75" s="74">
        <v>79.7</v>
      </c>
      <c r="L75" s="74">
        <v>65.81</v>
      </c>
      <c r="M75" s="74">
        <v>61.860000000000007</v>
      </c>
      <c r="N75" s="74">
        <v>88.36</v>
      </c>
      <c r="O75" s="74">
        <v>0</v>
      </c>
      <c r="P75" s="74">
        <v>0</v>
      </c>
      <c r="Q75" s="156">
        <v>0</v>
      </c>
    </row>
    <row r="76" spans="1:17" x14ac:dyDescent="0.25">
      <c r="A76">
        <v>2012</v>
      </c>
      <c r="B76" s="6">
        <v>10</v>
      </c>
      <c r="C76" s="5" t="str">
        <f t="shared" si="0"/>
        <v>10_2012</v>
      </c>
      <c r="D76" s="74">
        <f>0.8719*100</f>
        <v>87.19</v>
      </c>
      <c r="E76" s="74">
        <v>79.17</v>
      </c>
      <c r="F76" s="155">
        <v>5332.5</v>
      </c>
      <c r="G76" s="74">
        <v>81.11</v>
      </c>
      <c r="H76" s="74">
        <v>86.89</v>
      </c>
      <c r="I76" s="74">
        <v>80.600000000000009</v>
      </c>
      <c r="J76" s="155">
        <v>5803</v>
      </c>
      <c r="K76" s="74">
        <v>77.09</v>
      </c>
      <c r="L76" s="74">
        <v>77.98</v>
      </c>
      <c r="M76" s="74">
        <v>62.18</v>
      </c>
      <c r="N76" s="74">
        <v>90.06</v>
      </c>
      <c r="O76" s="74">
        <v>64.8</v>
      </c>
      <c r="P76" s="74">
        <v>56.410000000000004</v>
      </c>
      <c r="Q76" s="155">
        <v>4427.5</v>
      </c>
    </row>
    <row r="77" spans="1:17" x14ac:dyDescent="0.25">
      <c r="A77">
        <v>2013</v>
      </c>
      <c r="B77" s="6">
        <v>10</v>
      </c>
      <c r="C77" s="5" t="str">
        <f t="shared" si="0"/>
        <v>10_2013</v>
      </c>
      <c r="D77" s="74">
        <f>0.639*100</f>
        <v>63.9</v>
      </c>
      <c r="E77" s="74">
        <v>54.02</v>
      </c>
      <c r="F77" s="155">
        <v>5928</v>
      </c>
      <c r="G77" s="74">
        <v>86.050000000000011</v>
      </c>
      <c r="H77" s="74">
        <v>53.83</v>
      </c>
      <c r="I77" s="74">
        <v>49.93</v>
      </c>
      <c r="J77" s="155">
        <v>5342</v>
      </c>
      <c r="K77" s="74">
        <v>67.58</v>
      </c>
      <c r="L77" s="74">
        <v>58.17</v>
      </c>
      <c r="M77" s="74">
        <v>61.83</v>
      </c>
      <c r="N77" s="74">
        <v>91.8</v>
      </c>
      <c r="O77" s="74">
        <v>59.36</v>
      </c>
      <c r="P77" s="74">
        <v>56.169999999999995</v>
      </c>
      <c r="Q77" s="155">
        <v>4283</v>
      </c>
    </row>
    <row r="78" spans="1:17" x14ac:dyDescent="0.25">
      <c r="A78">
        <v>2014</v>
      </c>
      <c r="B78" s="6">
        <v>10</v>
      </c>
      <c r="C78" s="5" t="str">
        <f t="shared" si="0"/>
        <v>10_2014</v>
      </c>
      <c r="D78" s="74">
        <f>0.9202*100</f>
        <v>92.02</v>
      </c>
      <c r="E78" s="74">
        <v>84.91</v>
      </c>
      <c r="F78" s="155">
        <v>6605</v>
      </c>
      <c r="G78" s="74">
        <v>88.24</v>
      </c>
      <c r="H78" s="74">
        <v>75.22</v>
      </c>
      <c r="I78" s="74">
        <v>71.960000000000008</v>
      </c>
      <c r="J78" s="155">
        <v>6173</v>
      </c>
      <c r="K78" s="74">
        <v>87.3</v>
      </c>
      <c r="L78" s="74">
        <v>69.16</v>
      </c>
      <c r="M78" s="74">
        <v>58.48</v>
      </c>
      <c r="N78" s="74">
        <v>82.78</v>
      </c>
      <c r="O78" s="74">
        <v>61.650000000000006</v>
      </c>
      <c r="P78" s="74">
        <v>63.3</v>
      </c>
      <c r="Q78" s="155">
        <v>4446.5</v>
      </c>
    </row>
    <row r="79" spans="1:17" x14ac:dyDescent="0.25">
      <c r="A79">
        <v>2015</v>
      </c>
      <c r="B79" s="6">
        <v>10</v>
      </c>
      <c r="C79" s="5" t="str">
        <f t="shared" si="0"/>
        <v>10_2015</v>
      </c>
      <c r="D79" s="74">
        <f>0.8098*100</f>
        <v>80.97999999999999</v>
      </c>
      <c r="E79" s="74">
        <v>80.87</v>
      </c>
      <c r="F79" s="155">
        <v>7551</v>
      </c>
      <c r="G79" s="74">
        <v>81.33</v>
      </c>
      <c r="H79" s="74">
        <v>72.22</v>
      </c>
      <c r="I79" s="74">
        <v>78.259999999999991</v>
      </c>
      <c r="J79" s="155">
        <v>8433.5</v>
      </c>
      <c r="K79" s="74">
        <v>72.72999999999999</v>
      </c>
      <c r="L79" s="74">
        <v>69.179999999999993</v>
      </c>
      <c r="M79" s="74">
        <v>65.38000000000001</v>
      </c>
      <c r="N79" s="74">
        <v>75.69</v>
      </c>
      <c r="O79" s="74">
        <v>60.4</v>
      </c>
      <c r="P79" s="74">
        <v>59.940000000000005</v>
      </c>
      <c r="Q79" s="155">
        <v>4440</v>
      </c>
    </row>
    <row r="80" spans="1:17" x14ac:dyDescent="0.25">
      <c r="A80">
        <v>2016</v>
      </c>
      <c r="B80" s="6">
        <v>10</v>
      </c>
      <c r="C80" s="5" t="str">
        <f t="shared" si="0"/>
        <v>10_2016</v>
      </c>
      <c r="D80" s="74">
        <f>0.824468085106383*100</f>
        <v>82.446808510638306</v>
      </c>
      <c r="E80" s="74">
        <v>82.822085889570545</v>
      </c>
      <c r="F80" s="155">
        <v>8185</v>
      </c>
      <c r="G80" s="74">
        <v>0</v>
      </c>
      <c r="H80" s="74">
        <v>67.857142857142861</v>
      </c>
      <c r="I80" s="74">
        <v>59.45945945945946</v>
      </c>
      <c r="J80" s="155">
        <v>6260</v>
      </c>
      <c r="K80" s="74">
        <v>0</v>
      </c>
      <c r="L80" s="74">
        <v>60.305343511450381</v>
      </c>
      <c r="M80" s="74">
        <v>63.605442176870753</v>
      </c>
      <c r="N80" s="74">
        <v>0</v>
      </c>
      <c r="O80" s="74">
        <v>61.937299035369776</v>
      </c>
      <c r="P80" s="74">
        <v>56.458064516129035</v>
      </c>
      <c r="Q80" s="155">
        <v>5453</v>
      </c>
    </row>
    <row r="81" spans="1:17" x14ac:dyDescent="0.25">
      <c r="A81">
        <v>2017</v>
      </c>
      <c r="B81" s="6">
        <v>10</v>
      </c>
      <c r="C81" s="5" t="str">
        <f t="shared" si="0"/>
        <v>10_2017</v>
      </c>
      <c r="D81" s="136">
        <v>90.7</v>
      </c>
      <c r="E81" s="136">
        <v>90.5</v>
      </c>
      <c r="F81" s="136">
        <v>6360</v>
      </c>
      <c r="G81" s="136">
        <v>90.3</v>
      </c>
      <c r="H81" s="136">
        <v>88.9</v>
      </c>
      <c r="I81" s="136">
        <v>83.3</v>
      </c>
      <c r="J81" s="136">
        <v>12124</v>
      </c>
      <c r="K81" s="136">
        <v>100</v>
      </c>
      <c r="L81" s="136">
        <v>83.5</v>
      </c>
      <c r="M81" s="136">
        <v>68.400000000000006</v>
      </c>
      <c r="N81" s="136">
        <v>89.3</v>
      </c>
      <c r="O81" s="136">
        <v>68.900000000000006</v>
      </c>
      <c r="P81" s="136">
        <v>68.7</v>
      </c>
      <c r="Q81" s="136">
        <v>4890</v>
      </c>
    </row>
    <row r="82" spans="1:17" x14ac:dyDescent="0.25">
      <c r="A82" s="14">
        <v>20181</v>
      </c>
      <c r="B82" s="6">
        <v>10</v>
      </c>
      <c r="C82" s="5" t="str">
        <f t="shared" si="0"/>
        <v>10_20181</v>
      </c>
      <c r="D82" s="74">
        <v>90.4</v>
      </c>
      <c r="E82" s="74">
        <v>88.73</v>
      </c>
      <c r="F82" s="157">
        <v>8090</v>
      </c>
      <c r="G82" s="158">
        <v>88.679000000000002</v>
      </c>
      <c r="H82" s="159">
        <v>100</v>
      </c>
      <c r="I82" s="159">
        <v>85.713999999999999</v>
      </c>
      <c r="J82" s="157">
        <v>11339</v>
      </c>
      <c r="K82" s="158">
        <v>100</v>
      </c>
      <c r="L82" s="159">
        <v>86.992000000000004</v>
      </c>
      <c r="M82" s="159">
        <v>65.881999999999991</v>
      </c>
      <c r="N82" s="159">
        <v>92.771000000000001</v>
      </c>
      <c r="O82" s="159">
        <v>66.733000000000004</v>
      </c>
      <c r="P82" s="159">
        <v>68.957999999999998</v>
      </c>
      <c r="Q82" s="157">
        <v>4841</v>
      </c>
    </row>
    <row r="83" spans="1:17" x14ac:dyDescent="0.25">
      <c r="A83">
        <v>2011</v>
      </c>
      <c r="B83" s="6">
        <v>11</v>
      </c>
      <c r="C83" s="5" t="str">
        <f t="shared" si="0"/>
        <v>11_2011</v>
      </c>
      <c r="D83" s="74">
        <f>0.8201*100</f>
        <v>82.01</v>
      </c>
      <c r="E83" s="74">
        <v>70.13000000000001</v>
      </c>
      <c r="F83" s="155">
        <v>7028</v>
      </c>
      <c r="G83" s="74">
        <v>91.679999999999993</v>
      </c>
      <c r="H83" s="74">
        <v>82.210000000000008</v>
      </c>
      <c r="I83" s="74">
        <v>67.69</v>
      </c>
      <c r="J83" s="155">
        <v>6425.5</v>
      </c>
      <c r="K83" s="74">
        <v>87.29</v>
      </c>
      <c r="L83" s="74">
        <v>41.63</v>
      </c>
      <c r="M83" s="74">
        <v>50</v>
      </c>
      <c r="N83" s="74">
        <v>75.14</v>
      </c>
      <c r="O83" s="74">
        <v>0</v>
      </c>
      <c r="P83" s="74">
        <v>0</v>
      </c>
      <c r="Q83" s="156">
        <v>0</v>
      </c>
    </row>
    <row r="84" spans="1:17" x14ac:dyDescent="0.25">
      <c r="A84">
        <v>2012</v>
      </c>
      <c r="B84" s="6">
        <v>11</v>
      </c>
      <c r="C84" s="5" t="str">
        <f t="shared" si="0"/>
        <v>11_2012</v>
      </c>
      <c r="D84" s="74">
        <f>0.8041*100</f>
        <v>80.41</v>
      </c>
      <c r="E84" s="74">
        <v>71.460000000000008</v>
      </c>
      <c r="F84" s="155">
        <v>6727</v>
      </c>
      <c r="G84" s="74">
        <v>92.9</v>
      </c>
      <c r="H84" s="74">
        <v>85.53</v>
      </c>
      <c r="I84" s="74">
        <v>70.569999999999993</v>
      </c>
      <c r="J84" s="155">
        <v>6392</v>
      </c>
      <c r="K84" s="74">
        <v>93.03</v>
      </c>
      <c r="L84" s="74">
        <v>43.08</v>
      </c>
      <c r="M84" s="74">
        <v>35.770000000000003</v>
      </c>
      <c r="N84" s="74">
        <v>64.959999999999994</v>
      </c>
      <c r="O84" s="74">
        <v>53.31</v>
      </c>
      <c r="P84" s="74">
        <v>51.859999999999992</v>
      </c>
      <c r="Q84" s="155">
        <v>4282</v>
      </c>
    </row>
    <row r="85" spans="1:17" x14ac:dyDescent="0.25">
      <c r="A85">
        <v>2013</v>
      </c>
      <c r="B85" s="6">
        <v>11</v>
      </c>
      <c r="C85" s="5" t="str">
        <f t="shared" si="0"/>
        <v>11_2013</v>
      </c>
      <c r="D85" s="74">
        <f>0.8865*100</f>
        <v>88.649999999999991</v>
      </c>
      <c r="E85" s="74">
        <v>77.97</v>
      </c>
      <c r="F85" s="155">
        <v>7598</v>
      </c>
      <c r="G85" s="74">
        <v>93.49</v>
      </c>
      <c r="H85" s="74">
        <v>87.6</v>
      </c>
      <c r="I85" s="74">
        <v>76.259999999999991</v>
      </c>
      <c r="J85" s="155">
        <v>6615</v>
      </c>
      <c r="K85" s="74">
        <v>94.38</v>
      </c>
      <c r="L85" s="74">
        <v>64.290000000000006</v>
      </c>
      <c r="M85" s="74">
        <v>52.86</v>
      </c>
      <c r="N85" s="74">
        <v>84.07</v>
      </c>
      <c r="O85" s="74">
        <v>54.679999999999993</v>
      </c>
      <c r="P85" s="74">
        <v>54.679999999999993</v>
      </c>
      <c r="Q85" s="155">
        <v>4265</v>
      </c>
    </row>
    <row r="86" spans="1:17" x14ac:dyDescent="0.25">
      <c r="A86">
        <v>2014</v>
      </c>
      <c r="B86" s="6">
        <v>11</v>
      </c>
      <c r="C86" s="5" t="str">
        <f t="shared" si="0"/>
        <v>11_2014</v>
      </c>
      <c r="D86" s="74">
        <f>0.9121*100</f>
        <v>91.210000000000008</v>
      </c>
      <c r="E86" s="74">
        <v>78.91</v>
      </c>
      <c r="F86" s="155">
        <v>7574</v>
      </c>
      <c r="G86" s="74">
        <v>54.400000000000006</v>
      </c>
      <c r="H86" s="74">
        <v>86.32</v>
      </c>
      <c r="I86" s="74">
        <v>76.239999999999995</v>
      </c>
      <c r="J86" s="155">
        <v>7465</v>
      </c>
      <c r="K86" s="74">
        <v>59.260000000000005</v>
      </c>
      <c r="L86" s="74">
        <v>72.460000000000008</v>
      </c>
      <c r="M86" s="74">
        <v>59.160000000000004</v>
      </c>
      <c r="N86" s="74">
        <v>87.68</v>
      </c>
      <c r="O86" s="74">
        <v>58.550000000000004</v>
      </c>
      <c r="P86" s="74">
        <v>57.66</v>
      </c>
      <c r="Q86" s="155">
        <v>4187</v>
      </c>
    </row>
    <row r="87" spans="1:17" x14ac:dyDescent="0.25">
      <c r="A87">
        <v>2015</v>
      </c>
      <c r="B87" s="6">
        <v>11</v>
      </c>
      <c r="C87" s="5" t="str">
        <f t="shared" si="0"/>
        <v>11_2015</v>
      </c>
      <c r="D87" s="74">
        <f>0.9337*100</f>
        <v>93.37</v>
      </c>
      <c r="E87" s="74">
        <v>87.88</v>
      </c>
      <c r="F87" s="155">
        <v>8377</v>
      </c>
      <c r="G87" s="74">
        <v>33.43</v>
      </c>
      <c r="H87" s="74">
        <v>87.5</v>
      </c>
      <c r="I87" s="74">
        <v>78.490000000000009</v>
      </c>
      <c r="J87" s="155">
        <v>6826</v>
      </c>
      <c r="K87" s="74">
        <v>48.65</v>
      </c>
      <c r="L87" s="74">
        <v>80.56</v>
      </c>
      <c r="M87" s="74">
        <v>70.64</v>
      </c>
      <c r="N87" s="74">
        <v>94.44</v>
      </c>
      <c r="O87" s="74">
        <v>64.73</v>
      </c>
      <c r="P87" s="74">
        <v>62.59</v>
      </c>
      <c r="Q87" s="155">
        <v>4722.5</v>
      </c>
    </row>
    <row r="88" spans="1:17" x14ac:dyDescent="0.25">
      <c r="A88">
        <v>2016</v>
      </c>
      <c r="B88" s="6">
        <v>11</v>
      </c>
      <c r="C88" s="5" t="str">
        <f t="shared" si="0"/>
        <v>11_2016</v>
      </c>
      <c r="D88" s="74">
        <f>0.895631067961165*100</f>
        <v>89.5631067961165</v>
      </c>
      <c r="E88" s="74">
        <v>88.390501319261219</v>
      </c>
      <c r="F88" s="155">
        <v>8612</v>
      </c>
      <c r="G88" s="74">
        <v>0</v>
      </c>
      <c r="H88" s="74">
        <v>90.625</v>
      </c>
      <c r="I88" s="74">
        <v>93.975903614457835</v>
      </c>
      <c r="J88" s="155">
        <v>8322</v>
      </c>
      <c r="K88" s="74">
        <v>0</v>
      </c>
      <c r="L88" s="74">
        <v>80.14705882352942</v>
      </c>
      <c r="M88" s="74">
        <v>76.851851851851848</v>
      </c>
      <c r="N88" s="74">
        <v>0</v>
      </c>
      <c r="O88" s="74">
        <v>63.610076670317639</v>
      </c>
      <c r="P88" s="74">
        <v>62.323585364774594</v>
      </c>
      <c r="Q88" s="155">
        <v>5681</v>
      </c>
    </row>
    <row r="89" spans="1:17" x14ac:dyDescent="0.25">
      <c r="A89">
        <v>2017</v>
      </c>
      <c r="B89" s="6">
        <v>11</v>
      </c>
      <c r="C89" s="5" t="str">
        <f t="shared" si="0"/>
        <v>11_2017</v>
      </c>
      <c r="D89" s="136">
        <v>88.4</v>
      </c>
      <c r="E89" s="136">
        <v>86.9</v>
      </c>
      <c r="F89" s="136">
        <v>7055</v>
      </c>
      <c r="G89" s="136">
        <v>62.5</v>
      </c>
      <c r="H89" s="136">
        <v>82.8</v>
      </c>
      <c r="I89" s="136">
        <v>75</v>
      </c>
      <c r="J89" s="136">
        <v>5548</v>
      </c>
      <c r="K89" s="136">
        <v>77.8</v>
      </c>
      <c r="L89" s="136">
        <v>77.7</v>
      </c>
      <c r="M89" s="136">
        <v>64.099999999999994</v>
      </c>
      <c r="N89" s="136">
        <v>100</v>
      </c>
      <c r="O89" s="136">
        <v>66</v>
      </c>
      <c r="P89" s="136">
        <v>66.7</v>
      </c>
      <c r="Q89" s="136">
        <v>4793</v>
      </c>
    </row>
    <row r="90" spans="1:17" x14ac:dyDescent="0.25">
      <c r="A90" s="14">
        <v>20181</v>
      </c>
      <c r="B90" s="6">
        <v>11</v>
      </c>
      <c r="C90" s="5" t="str">
        <f t="shared" si="0"/>
        <v>11_20181</v>
      </c>
      <c r="D90" s="74">
        <v>88.42</v>
      </c>
      <c r="E90" s="74">
        <v>86.99</v>
      </c>
      <c r="F90" s="157">
        <v>6818</v>
      </c>
      <c r="G90" s="158">
        <v>61.905000000000001</v>
      </c>
      <c r="H90" s="159">
        <v>81.817999999999998</v>
      </c>
      <c r="I90" s="159">
        <v>77.778000000000006</v>
      </c>
      <c r="J90" s="157">
        <v>5913</v>
      </c>
      <c r="K90" s="158">
        <v>77.778000000000006</v>
      </c>
      <c r="L90" s="159">
        <v>79.873999999999995</v>
      </c>
      <c r="M90" s="159">
        <v>70.88600000000001</v>
      </c>
      <c r="N90" s="159">
        <v>93.671000000000006</v>
      </c>
      <c r="O90" s="159">
        <v>66.051000000000002</v>
      </c>
      <c r="P90" s="159">
        <v>66.278000000000006</v>
      </c>
      <c r="Q90" s="157">
        <v>4863</v>
      </c>
    </row>
    <row r="91" spans="1:17" x14ac:dyDescent="0.25">
      <c r="A91">
        <v>2011</v>
      </c>
      <c r="B91" s="6">
        <v>12</v>
      </c>
      <c r="C91" s="5" t="str">
        <f t="shared" si="0"/>
        <v>12_2011</v>
      </c>
      <c r="D91" s="74">
        <f>0.6823*100</f>
        <v>68.23</v>
      </c>
      <c r="E91" s="74">
        <v>71.650000000000006</v>
      </c>
      <c r="F91" s="155">
        <v>5306.8249999999998</v>
      </c>
      <c r="G91" s="74">
        <v>66.47</v>
      </c>
      <c r="H91" s="74">
        <v>71.56</v>
      </c>
      <c r="I91" s="74">
        <v>68.410000000000011</v>
      </c>
      <c r="J91" s="155">
        <v>5097</v>
      </c>
      <c r="K91" s="74">
        <v>66.210000000000008</v>
      </c>
      <c r="L91" s="74">
        <v>33.86</v>
      </c>
      <c r="M91" s="74">
        <v>46.08</v>
      </c>
      <c r="N91" s="74">
        <v>96.08</v>
      </c>
      <c r="O91" s="74">
        <v>0</v>
      </c>
      <c r="P91" s="74">
        <v>0</v>
      </c>
      <c r="Q91" s="156">
        <v>0</v>
      </c>
    </row>
    <row r="92" spans="1:17" x14ac:dyDescent="0.25">
      <c r="A92">
        <v>2012</v>
      </c>
      <c r="B92" s="6">
        <v>12</v>
      </c>
      <c r="C92" s="5" t="str">
        <f t="shared" si="0"/>
        <v>12_2012</v>
      </c>
      <c r="D92" s="74">
        <f>0.7071*100</f>
        <v>70.709999999999994</v>
      </c>
      <c r="E92" s="74">
        <v>65.429999999999993</v>
      </c>
      <c r="F92" s="155">
        <v>5405.5</v>
      </c>
      <c r="G92" s="74">
        <v>62.150000000000006</v>
      </c>
      <c r="H92" s="74">
        <v>72.89</v>
      </c>
      <c r="I92" s="74">
        <v>67.27</v>
      </c>
      <c r="J92" s="155">
        <v>5231.5</v>
      </c>
      <c r="K92" s="74">
        <v>56.779999999999994</v>
      </c>
      <c r="L92" s="74">
        <v>73.33</v>
      </c>
      <c r="M92" s="74">
        <v>41.04</v>
      </c>
      <c r="N92" s="74">
        <v>96.49</v>
      </c>
      <c r="O92" s="74">
        <v>57.940000000000005</v>
      </c>
      <c r="P92" s="74">
        <v>55.600000000000009</v>
      </c>
      <c r="Q92" s="155">
        <v>4472</v>
      </c>
    </row>
    <row r="93" spans="1:17" x14ac:dyDescent="0.25">
      <c r="A93">
        <v>2013</v>
      </c>
      <c r="B93" s="6">
        <v>12</v>
      </c>
      <c r="C93" s="5" t="str">
        <f t="shared" si="0"/>
        <v>12_2013</v>
      </c>
      <c r="D93" s="74">
        <f>0.6942*100</f>
        <v>69.42</v>
      </c>
      <c r="E93" s="74">
        <v>64.56</v>
      </c>
      <c r="F93" s="155">
        <v>4886</v>
      </c>
      <c r="G93" s="74">
        <v>62.050000000000004</v>
      </c>
      <c r="H93" s="74">
        <v>75.180000000000007</v>
      </c>
      <c r="I93" s="74">
        <v>67.39</v>
      </c>
      <c r="J93" s="155">
        <v>5503</v>
      </c>
      <c r="K93" s="74">
        <v>58.5</v>
      </c>
      <c r="L93" s="74">
        <v>35.17</v>
      </c>
      <c r="M93" s="74">
        <v>53.690000000000005</v>
      </c>
      <c r="N93" s="74">
        <v>95.77</v>
      </c>
      <c r="O93" s="74">
        <v>58.24</v>
      </c>
      <c r="P93" s="74">
        <v>59.89</v>
      </c>
      <c r="Q93" s="155">
        <v>4390</v>
      </c>
    </row>
    <row r="94" spans="1:17" x14ac:dyDescent="0.25">
      <c r="A94">
        <v>2014</v>
      </c>
      <c r="B94" s="6">
        <v>12</v>
      </c>
      <c r="C94" s="5" t="str">
        <f t="shared" si="0"/>
        <v>12_2014</v>
      </c>
      <c r="D94" s="74">
        <f>0.7882*100</f>
        <v>78.820000000000007</v>
      </c>
      <c r="E94" s="74">
        <v>66.47</v>
      </c>
      <c r="F94" s="155">
        <v>5092</v>
      </c>
      <c r="G94" s="74">
        <v>65.100000000000009</v>
      </c>
      <c r="H94" s="74">
        <v>79.430000000000007</v>
      </c>
      <c r="I94" s="74">
        <v>71.33</v>
      </c>
      <c r="J94" s="155">
        <v>5967</v>
      </c>
      <c r="K94" s="74">
        <v>62.370000000000005</v>
      </c>
      <c r="L94" s="74">
        <v>73.03</v>
      </c>
      <c r="M94" s="74">
        <v>68.89</v>
      </c>
      <c r="N94" s="74">
        <v>97.67</v>
      </c>
      <c r="O94" s="74">
        <v>63.160000000000004</v>
      </c>
      <c r="P94" s="74">
        <v>62.519999999999996</v>
      </c>
      <c r="Q94" s="155">
        <v>4561</v>
      </c>
    </row>
    <row r="95" spans="1:17" x14ac:dyDescent="0.25">
      <c r="A95">
        <v>2015</v>
      </c>
      <c r="B95" s="6">
        <v>12</v>
      </c>
      <c r="C95" s="5" t="str">
        <f t="shared" si="0"/>
        <v>12_2015</v>
      </c>
      <c r="D95" s="74">
        <f>0.6849*100</f>
        <v>68.489999999999995</v>
      </c>
      <c r="E95" s="74">
        <v>72.289999999999992</v>
      </c>
      <c r="F95" s="155">
        <v>5463</v>
      </c>
      <c r="G95" s="74">
        <v>66.42</v>
      </c>
      <c r="H95" s="74">
        <v>65.539999999999992</v>
      </c>
      <c r="I95" s="74">
        <v>74.89</v>
      </c>
      <c r="J95" s="155">
        <v>6724.5</v>
      </c>
      <c r="K95" s="74">
        <v>63.41</v>
      </c>
      <c r="L95" s="74">
        <v>78.64</v>
      </c>
      <c r="M95" s="74">
        <v>77</v>
      </c>
      <c r="N95" s="74">
        <v>83.919999999999987</v>
      </c>
      <c r="O95" s="74">
        <v>66.12</v>
      </c>
      <c r="P95" s="74">
        <v>65.12</v>
      </c>
      <c r="Q95" s="155">
        <v>4626</v>
      </c>
    </row>
    <row r="96" spans="1:17" x14ac:dyDescent="0.25">
      <c r="A96">
        <v>2016</v>
      </c>
      <c r="B96" s="6">
        <v>12</v>
      </c>
      <c r="C96" s="5" t="str">
        <f t="shared" si="0"/>
        <v>12_2016</v>
      </c>
      <c r="D96" s="74">
        <f>0.817919075144509*100</f>
        <v>81.791907514450898</v>
      </c>
      <c r="E96" s="74">
        <v>65.094339622641513</v>
      </c>
      <c r="F96" s="155">
        <v>6591</v>
      </c>
      <c r="G96" s="74">
        <v>0</v>
      </c>
      <c r="H96" s="74">
        <v>84.8</v>
      </c>
      <c r="I96" s="74">
        <v>62.680115273775215</v>
      </c>
      <c r="J96" s="155">
        <v>8051</v>
      </c>
      <c r="K96" s="74">
        <v>0</v>
      </c>
      <c r="L96" s="74">
        <v>75.882352941176464</v>
      </c>
      <c r="M96" s="74">
        <v>70.270270270270274</v>
      </c>
      <c r="N96" s="74">
        <v>0</v>
      </c>
      <c r="O96" s="74">
        <v>65.86849598757442</v>
      </c>
      <c r="P96" s="74">
        <v>63.422978573318048</v>
      </c>
      <c r="Q96" s="155">
        <v>5521</v>
      </c>
    </row>
    <row r="97" spans="1:17" x14ac:dyDescent="0.25">
      <c r="A97">
        <v>2017</v>
      </c>
      <c r="B97" s="6">
        <v>12</v>
      </c>
      <c r="C97" s="5" t="str">
        <f t="shared" si="0"/>
        <v>12_2017</v>
      </c>
      <c r="D97" s="136">
        <v>87</v>
      </c>
      <c r="E97" s="136">
        <v>87.9</v>
      </c>
      <c r="F97" s="136">
        <v>6773</v>
      </c>
      <c r="G97" s="136">
        <v>83.2</v>
      </c>
      <c r="H97" s="136">
        <v>85.1</v>
      </c>
      <c r="I97" s="136">
        <v>92.4</v>
      </c>
      <c r="J97" s="136">
        <v>7785</v>
      </c>
      <c r="K97" s="136">
        <v>82</v>
      </c>
      <c r="L97" s="136">
        <v>73.900000000000006</v>
      </c>
      <c r="M97" s="136">
        <v>74.099999999999994</v>
      </c>
      <c r="N97" s="136">
        <v>94.1</v>
      </c>
      <c r="O97" s="136">
        <v>71.400000000000006</v>
      </c>
      <c r="P97" s="136">
        <v>70.2</v>
      </c>
      <c r="Q97" s="136">
        <v>4770</v>
      </c>
    </row>
    <row r="98" spans="1:17" x14ac:dyDescent="0.25">
      <c r="A98" s="14">
        <v>20181</v>
      </c>
      <c r="B98" s="6">
        <v>12</v>
      </c>
      <c r="C98" s="5" t="str">
        <f t="shared" si="0"/>
        <v>12_20181</v>
      </c>
      <c r="D98" s="74">
        <v>88.31</v>
      </c>
      <c r="E98" s="74">
        <v>88.49</v>
      </c>
      <c r="F98" s="157">
        <v>6902</v>
      </c>
      <c r="G98" s="158">
        <v>80.88</v>
      </c>
      <c r="H98" s="159">
        <v>83.012</v>
      </c>
      <c r="I98" s="159">
        <v>91.13900000000001</v>
      </c>
      <c r="J98" s="157">
        <v>7916</v>
      </c>
      <c r="K98" s="158">
        <v>85.576999999999998</v>
      </c>
      <c r="L98" s="159">
        <v>73.36399999999999</v>
      </c>
      <c r="M98" s="159">
        <v>70.278999999999996</v>
      </c>
      <c r="N98" s="159">
        <v>93.417000000000002</v>
      </c>
      <c r="O98" s="159">
        <v>72.052000000000007</v>
      </c>
      <c r="P98" s="159">
        <v>70.315000000000012</v>
      </c>
      <c r="Q98" s="157">
        <v>4756</v>
      </c>
    </row>
    <row r="99" spans="1:17" x14ac:dyDescent="0.25">
      <c r="A99">
        <v>2011</v>
      </c>
      <c r="B99" s="6">
        <v>13</v>
      </c>
      <c r="C99" s="5" t="str">
        <f t="shared" si="0"/>
        <v>13_2011</v>
      </c>
      <c r="D99" s="74">
        <f>0.8495*100</f>
        <v>84.95</v>
      </c>
      <c r="E99" s="74">
        <v>77.78</v>
      </c>
      <c r="F99" s="155">
        <v>7867</v>
      </c>
      <c r="G99" s="74">
        <v>80.679999999999993</v>
      </c>
      <c r="H99" s="74">
        <v>83.09</v>
      </c>
      <c r="I99" s="74">
        <v>75</v>
      </c>
      <c r="J99" s="155">
        <v>6630</v>
      </c>
      <c r="K99" s="74">
        <v>70.209999999999994</v>
      </c>
      <c r="L99" s="74">
        <v>61.11</v>
      </c>
      <c r="M99" s="74">
        <v>56.410000000000004</v>
      </c>
      <c r="N99" s="74">
        <v>68.75</v>
      </c>
      <c r="O99" s="74">
        <v>0</v>
      </c>
      <c r="P99" s="74">
        <v>0</v>
      </c>
      <c r="Q99" s="156">
        <v>0</v>
      </c>
    </row>
    <row r="100" spans="1:17" x14ac:dyDescent="0.25">
      <c r="A100">
        <v>2012</v>
      </c>
      <c r="B100" s="6">
        <v>13</v>
      </c>
      <c r="C100" s="5" t="str">
        <f t="shared" si="0"/>
        <v>13_2012</v>
      </c>
      <c r="D100" s="74">
        <f>0.8942*100</f>
        <v>89.42</v>
      </c>
      <c r="E100" s="74">
        <v>81.97</v>
      </c>
      <c r="F100" s="155">
        <v>8110</v>
      </c>
      <c r="G100" s="74">
        <v>85.41</v>
      </c>
      <c r="H100" s="74">
        <v>81.820000000000007</v>
      </c>
      <c r="I100" s="74">
        <v>79.290000000000006</v>
      </c>
      <c r="J100" s="155">
        <v>6126</v>
      </c>
      <c r="K100" s="74">
        <v>65.75</v>
      </c>
      <c r="L100" s="74">
        <v>55.489999999999995</v>
      </c>
      <c r="M100" s="74">
        <v>60.38</v>
      </c>
      <c r="N100" s="74">
        <v>64.86</v>
      </c>
      <c r="O100" s="74">
        <v>60.86</v>
      </c>
      <c r="P100" s="74">
        <v>54.75</v>
      </c>
      <c r="Q100" s="155">
        <v>4810.5</v>
      </c>
    </row>
    <row r="101" spans="1:17" x14ac:dyDescent="0.25">
      <c r="A101">
        <v>2013</v>
      </c>
      <c r="B101" s="6">
        <v>13</v>
      </c>
      <c r="C101" s="5" t="str">
        <f t="shared" si="0"/>
        <v>13_2013</v>
      </c>
      <c r="D101" s="74">
        <f>0.8613*100</f>
        <v>86.13</v>
      </c>
      <c r="E101" s="74">
        <v>84.68</v>
      </c>
      <c r="F101" s="155">
        <v>7830</v>
      </c>
      <c r="G101" s="74">
        <v>64.81</v>
      </c>
      <c r="H101" s="74">
        <v>79.53</v>
      </c>
      <c r="I101" s="74">
        <v>74.050000000000011</v>
      </c>
      <c r="J101" s="155">
        <v>6854</v>
      </c>
      <c r="K101" s="74">
        <v>53.61</v>
      </c>
      <c r="L101" s="74">
        <v>64.33</v>
      </c>
      <c r="M101" s="74">
        <v>59.24</v>
      </c>
      <c r="N101" s="74">
        <v>72.14</v>
      </c>
      <c r="O101" s="74">
        <v>60.69</v>
      </c>
      <c r="P101" s="74">
        <v>60.870000000000005</v>
      </c>
      <c r="Q101" s="155">
        <v>5096</v>
      </c>
    </row>
    <row r="102" spans="1:17" x14ac:dyDescent="0.25">
      <c r="A102">
        <v>2014</v>
      </c>
      <c r="B102" s="6">
        <v>13</v>
      </c>
      <c r="C102" s="5" t="str">
        <f t="shared" si="0"/>
        <v>13_2014</v>
      </c>
      <c r="D102" s="74">
        <f>0.8694*100</f>
        <v>86.94</v>
      </c>
      <c r="E102" s="74">
        <v>82.35</v>
      </c>
      <c r="F102" s="155">
        <v>6650</v>
      </c>
      <c r="G102" s="74">
        <v>57.609999999999992</v>
      </c>
      <c r="H102" s="74">
        <v>87.839999999999989</v>
      </c>
      <c r="I102" s="74">
        <v>81.489999999999995</v>
      </c>
      <c r="J102" s="155">
        <v>6312</v>
      </c>
      <c r="K102" s="74">
        <v>56.43</v>
      </c>
      <c r="L102" s="74">
        <v>63.759999999999991</v>
      </c>
      <c r="M102" s="74">
        <v>56.18</v>
      </c>
      <c r="N102" s="74">
        <v>85.28</v>
      </c>
      <c r="O102" s="74">
        <v>65.510000000000005</v>
      </c>
      <c r="P102" s="74">
        <v>60.809999999999995</v>
      </c>
      <c r="Q102" s="155">
        <v>5238</v>
      </c>
    </row>
    <row r="103" spans="1:17" x14ac:dyDescent="0.25">
      <c r="A103">
        <v>2015</v>
      </c>
      <c r="B103" s="6">
        <v>13</v>
      </c>
      <c r="C103" s="5" t="str">
        <f t="shared" si="0"/>
        <v>13_2015</v>
      </c>
      <c r="D103" s="74">
        <f>0.8391*100</f>
        <v>83.91</v>
      </c>
      <c r="E103" s="74">
        <v>83.61</v>
      </c>
      <c r="F103" s="155">
        <v>6993</v>
      </c>
      <c r="G103" s="74">
        <v>58.650000000000006</v>
      </c>
      <c r="H103" s="74">
        <v>74.400000000000006</v>
      </c>
      <c r="I103" s="74">
        <v>76.14</v>
      </c>
      <c r="J103" s="155">
        <v>7612</v>
      </c>
      <c r="K103" s="74">
        <v>43.16</v>
      </c>
      <c r="L103" s="74">
        <v>64.259999999999991</v>
      </c>
      <c r="M103" s="74">
        <v>67.759999999999991</v>
      </c>
      <c r="N103" s="74">
        <v>76.47</v>
      </c>
      <c r="O103" s="74">
        <v>63.83</v>
      </c>
      <c r="P103" s="74">
        <v>62.33</v>
      </c>
      <c r="Q103" s="155">
        <v>5268</v>
      </c>
    </row>
    <row r="104" spans="1:17" x14ac:dyDescent="0.25">
      <c r="A104">
        <v>2016</v>
      </c>
      <c r="B104" s="6">
        <v>13</v>
      </c>
      <c r="C104" s="5" t="str">
        <f t="shared" si="0"/>
        <v>13_2016</v>
      </c>
      <c r="D104" s="74">
        <f>0.841530054644809*100</f>
        <v>84.153005464480898</v>
      </c>
      <c r="E104" s="74">
        <v>82.558139534883722</v>
      </c>
      <c r="F104" s="155">
        <v>7959</v>
      </c>
      <c r="G104" s="74">
        <v>0</v>
      </c>
      <c r="H104" s="74">
        <v>79.775280898876403</v>
      </c>
      <c r="I104" s="74">
        <v>70.731707317073173</v>
      </c>
      <c r="J104" s="155">
        <v>7544</v>
      </c>
      <c r="K104" s="74">
        <v>0</v>
      </c>
      <c r="L104" s="74">
        <v>68.1967213114754</v>
      </c>
      <c r="M104" s="74">
        <v>66.187050359712231</v>
      </c>
      <c r="N104" s="74">
        <v>0</v>
      </c>
      <c r="O104" s="74">
        <v>60.13719814425631</v>
      </c>
      <c r="P104" s="74">
        <v>57.565016230737662</v>
      </c>
      <c r="Q104" s="155">
        <v>6269</v>
      </c>
    </row>
    <row r="105" spans="1:17" x14ac:dyDescent="0.25">
      <c r="A105">
        <v>2017</v>
      </c>
      <c r="B105" s="6">
        <v>13</v>
      </c>
      <c r="C105" s="5" t="str">
        <f t="shared" si="0"/>
        <v>13_2017</v>
      </c>
      <c r="D105" s="136">
        <v>92.6</v>
      </c>
      <c r="E105" s="136">
        <v>89.3</v>
      </c>
      <c r="F105" s="136">
        <v>7496</v>
      </c>
      <c r="G105" s="136">
        <v>92.9</v>
      </c>
      <c r="H105" s="136">
        <v>85.7</v>
      </c>
      <c r="I105" s="136">
        <v>88.2</v>
      </c>
      <c r="J105" s="136">
        <v>6432</v>
      </c>
      <c r="K105" s="136">
        <v>83.3</v>
      </c>
      <c r="L105" s="136">
        <v>79.2</v>
      </c>
      <c r="M105" s="136">
        <v>78.3</v>
      </c>
      <c r="N105" s="136">
        <v>83.1</v>
      </c>
      <c r="O105" s="136">
        <v>69.099999999999994</v>
      </c>
      <c r="P105" s="136">
        <v>70.7</v>
      </c>
      <c r="Q105" s="136">
        <v>5165</v>
      </c>
    </row>
    <row r="106" spans="1:17" x14ac:dyDescent="0.25">
      <c r="A106" s="14">
        <v>20181</v>
      </c>
      <c r="B106" s="6">
        <v>13</v>
      </c>
      <c r="C106" s="5" t="str">
        <f t="shared" si="0"/>
        <v>13_20181</v>
      </c>
      <c r="D106" s="74">
        <v>90.83</v>
      </c>
      <c r="E106" s="74">
        <v>90.83</v>
      </c>
      <c r="F106" s="157">
        <v>7342</v>
      </c>
      <c r="G106" s="158">
        <v>89.188999999999993</v>
      </c>
      <c r="H106" s="159">
        <v>80.701999999999998</v>
      </c>
      <c r="I106" s="159">
        <v>88</v>
      </c>
      <c r="J106" s="157">
        <v>7372</v>
      </c>
      <c r="K106" s="158">
        <v>90.908999999999992</v>
      </c>
      <c r="L106" s="159">
        <v>79.295000000000002</v>
      </c>
      <c r="M106" s="159">
        <v>79.069999999999993</v>
      </c>
      <c r="N106" s="159">
        <v>82.828000000000003</v>
      </c>
      <c r="O106" s="159">
        <v>68.703000000000003</v>
      </c>
      <c r="P106" s="159">
        <v>68.542999999999992</v>
      </c>
      <c r="Q106" s="157">
        <v>5297</v>
      </c>
    </row>
    <row r="107" spans="1:17" x14ac:dyDescent="0.25">
      <c r="A107">
        <v>2011</v>
      </c>
      <c r="B107" s="6">
        <v>14</v>
      </c>
      <c r="C107" s="5" t="str">
        <f t="shared" ref="C107:C202" si="1">B107&amp;"_"&amp;A107</f>
        <v>14_2011</v>
      </c>
      <c r="D107" s="74">
        <f>0.951*100</f>
        <v>95.1</v>
      </c>
      <c r="E107" s="74">
        <v>88.96</v>
      </c>
      <c r="F107" s="155">
        <v>9616</v>
      </c>
      <c r="G107" s="74">
        <v>99.03</v>
      </c>
      <c r="H107" s="74">
        <v>93.61</v>
      </c>
      <c r="I107" s="74">
        <v>82.92</v>
      </c>
      <c r="J107" s="155">
        <v>7070</v>
      </c>
      <c r="K107" s="74">
        <v>85.509999999999991</v>
      </c>
      <c r="L107" s="74">
        <v>68.289999999999992</v>
      </c>
      <c r="M107" s="74">
        <v>81.820000000000007</v>
      </c>
      <c r="N107" s="74">
        <v>72.72999999999999</v>
      </c>
      <c r="O107" s="74">
        <v>0</v>
      </c>
      <c r="P107" s="74">
        <v>0</v>
      </c>
      <c r="Q107" s="156">
        <v>0</v>
      </c>
    </row>
    <row r="108" spans="1:17" x14ac:dyDescent="0.25">
      <c r="A108">
        <v>2012</v>
      </c>
      <c r="B108" s="6">
        <v>14</v>
      </c>
      <c r="C108" s="5" t="str">
        <f t="shared" si="1"/>
        <v>14_2012</v>
      </c>
      <c r="D108" s="74">
        <f>0.9648*100</f>
        <v>96.48</v>
      </c>
      <c r="E108" s="74">
        <v>88.9</v>
      </c>
      <c r="F108" s="155">
        <v>10105</v>
      </c>
      <c r="G108" s="74">
        <v>99.03</v>
      </c>
      <c r="H108" s="74">
        <v>94.3</v>
      </c>
      <c r="I108" s="74">
        <v>90.03</v>
      </c>
      <c r="J108" s="155">
        <v>6840</v>
      </c>
      <c r="K108" s="74">
        <v>74.17</v>
      </c>
      <c r="L108" s="74">
        <v>87.41</v>
      </c>
      <c r="M108" s="74">
        <v>65.5</v>
      </c>
      <c r="N108" s="74">
        <v>89.84</v>
      </c>
      <c r="O108" s="74">
        <v>72.8</v>
      </c>
      <c r="P108" s="74">
        <v>63.49</v>
      </c>
      <c r="Q108" s="155">
        <v>5111</v>
      </c>
    </row>
    <row r="109" spans="1:17" x14ac:dyDescent="0.25">
      <c r="A109">
        <v>2013</v>
      </c>
      <c r="B109" s="6">
        <v>14</v>
      </c>
      <c r="C109" s="5" t="str">
        <f t="shared" si="1"/>
        <v>14_2013</v>
      </c>
      <c r="D109" s="74">
        <f>0.9722*100</f>
        <v>97.22</v>
      </c>
      <c r="E109" s="74">
        <v>92.51</v>
      </c>
      <c r="F109" s="155">
        <v>10250</v>
      </c>
      <c r="G109" s="74">
        <v>99.86</v>
      </c>
      <c r="H109" s="74">
        <v>92.31</v>
      </c>
      <c r="I109" s="74">
        <v>88.12</v>
      </c>
      <c r="J109" s="155">
        <v>6758</v>
      </c>
      <c r="K109" s="74">
        <v>62.839999999999996</v>
      </c>
      <c r="L109" s="74">
        <v>84.65</v>
      </c>
      <c r="M109" s="74">
        <v>78.900000000000006</v>
      </c>
      <c r="N109" s="74">
        <v>88.11</v>
      </c>
      <c r="O109" s="74">
        <v>63.460000000000008</v>
      </c>
      <c r="P109" s="74">
        <v>63</v>
      </c>
      <c r="Q109" s="155">
        <v>5341</v>
      </c>
    </row>
    <row r="110" spans="1:17" x14ac:dyDescent="0.25">
      <c r="A110">
        <v>2014</v>
      </c>
      <c r="B110" s="6">
        <v>14</v>
      </c>
      <c r="C110" s="5" t="str">
        <f t="shared" si="1"/>
        <v>14_2014</v>
      </c>
      <c r="D110" s="74">
        <f>0.9836*100</f>
        <v>98.36</v>
      </c>
      <c r="E110" s="74">
        <v>95.57</v>
      </c>
      <c r="F110" s="155">
        <v>10126.5</v>
      </c>
      <c r="G110" s="74">
        <v>99.65</v>
      </c>
      <c r="H110" s="74">
        <v>92.52</v>
      </c>
      <c r="I110" s="74">
        <v>85.26</v>
      </c>
      <c r="J110" s="155">
        <v>6552</v>
      </c>
      <c r="K110" s="74">
        <v>45.64</v>
      </c>
      <c r="L110" s="74">
        <v>94.48</v>
      </c>
      <c r="M110" s="74">
        <v>86.02</v>
      </c>
      <c r="N110" s="74">
        <v>94.740000000000009</v>
      </c>
      <c r="O110" s="74">
        <v>63.29</v>
      </c>
      <c r="P110" s="74">
        <v>60.77</v>
      </c>
      <c r="Q110" s="155">
        <v>5615</v>
      </c>
    </row>
    <row r="111" spans="1:17" x14ac:dyDescent="0.25">
      <c r="A111">
        <v>2015</v>
      </c>
      <c r="B111" s="6">
        <v>14</v>
      </c>
      <c r="C111" s="5" t="str">
        <f t="shared" si="1"/>
        <v>14_2015</v>
      </c>
      <c r="D111" s="74">
        <f>0.9879*100</f>
        <v>98.79</v>
      </c>
      <c r="E111" s="74">
        <v>96.43</v>
      </c>
      <c r="F111" s="155">
        <v>10241</v>
      </c>
      <c r="G111" s="74">
        <v>99.71</v>
      </c>
      <c r="H111" s="74">
        <v>94.47</v>
      </c>
      <c r="I111" s="74">
        <v>89.92</v>
      </c>
      <c r="J111" s="155">
        <v>8218.5</v>
      </c>
      <c r="K111" s="74">
        <v>36.82</v>
      </c>
      <c r="L111" s="74">
        <v>95.76</v>
      </c>
      <c r="M111" s="74">
        <v>92.42</v>
      </c>
      <c r="N111" s="74">
        <v>93.19</v>
      </c>
      <c r="O111" s="74">
        <v>70.430000000000007</v>
      </c>
      <c r="P111" s="74">
        <v>67.53</v>
      </c>
      <c r="Q111" s="155">
        <v>6330</v>
      </c>
    </row>
    <row r="112" spans="1:17" x14ac:dyDescent="0.25">
      <c r="A112">
        <v>2016</v>
      </c>
      <c r="B112" s="6">
        <v>14</v>
      </c>
      <c r="C112" s="5" t="str">
        <f t="shared" si="1"/>
        <v>14_2016</v>
      </c>
      <c r="D112" s="74">
        <f>0.959124087591241*100</f>
        <v>95.912408759124105</v>
      </c>
      <c r="E112" s="74">
        <v>94.72727272727272</v>
      </c>
      <c r="F112" s="155">
        <v>10315</v>
      </c>
      <c r="G112" s="74">
        <v>0</v>
      </c>
      <c r="H112" s="74">
        <v>88.114104595879567</v>
      </c>
      <c r="I112" s="74">
        <v>88.688524590163937</v>
      </c>
      <c r="J112" s="155">
        <v>9451</v>
      </c>
      <c r="K112" s="74">
        <v>0</v>
      </c>
      <c r="L112" s="74">
        <v>88.211382113821131</v>
      </c>
      <c r="M112" s="74">
        <v>88.559322033898297</v>
      </c>
      <c r="N112" s="74">
        <v>0</v>
      </c>
      <c r="O112" s="74">
        <v>73.323428808347444</v>
      </c>
      <c r="P112" s="74">
        <v>67.156025947422322</v>
      </c>
      <c r="Q112" s="155">
        <v>8511</v>
      </c>
    </row>
    <row r="113" spans="1:17" x14ac:dyDescent="0.25">
      <c r="A113">
        <v>2017</v>
      </c>
      <c r="B113" s="6">
        <v>14</v>
      </c>
      <c r="C113" s="5" t="str">
        <f t="shared" si="1"/>
        <v>14_2017</v>
      </c>
      <c r="D113" s="136">
        <v>92.5</v>
      </c>
      <c r="E113" s="136">
        <v>92.3</v>
      </c>
      <c r="F113" s="136">
        <v>9747</v>
      </c>
      <c r="G113" s="136">
        <v>98.2</v>
      </c>
      <c r="H113" s="136">
        <v>87.7</v>
      </c>
      <c r="I113" s="136">
        <v>88.7</v>
      </c>
      <c r="J113" s="136">
        <v>8129</v>
      </c>
      <c r="K113" s="136">
        <v>86.2</v>
      </c>
      <c r="L113" s="136">
        <v>84.5</v>
      </c>
      <c r="M113" s="136">
        <v>90.4</v>
      </c>
      <c r="N113" s="136">
        <v>95.8</v>
      </c>
      <c r="O113" s="136">
        <v>72.900000000000006</v>
      </c>
      <c r="P113" s="136">
        <v>72.400000000000006</v>
      </c>
      <c r="Q113" s="136">
        <v>6625</v>
      </c>
    </row>
    <row r="114" spans="1:17" x14ac:dyDescent="0.25">
      <c r="A114" s="14">
        <v>20181</v>
      </c>
      <c r="B114" s="6">
        <v>14</v>
      </c>
      <c r="C114" s="5" t="str">
        <f t="shared" si="1"/>
        <v>14_20181</v>
      </c>
      <c r="D114" s="74">
        <v>92.14</v>
      </c>
      <c r="E114" s="74">
        <v>88.91</v>
      </c>
      <c r="F114" s="157">
        <v>9753</v>
      </c>
      <c r="G114" s="158">
        <v>96.728999999999999</v>
      </c>
      <c r="H114" s="159">
        <v>88.660000000000011</v>
      </c>
      <c r="I114" s="159">
        <v>84.49</v>
      </c>
      <c r="J114" s="157">
        <v>8074</v>
      </c>
      <c r="K114" s="158">
        <v>86.42</v>
      </c>
      <c r="L114" s="159">
        <v>79.055999999999997</v>
      </c>
      <c r="M114" s="159">
        <v>77.86</v>
      </c>
      <c r="N114" s="159">
        <v>88.317999999999998</v>
      </c>
      <c r="O114" s="159">
        <v>72.983000000000004</v>
      </c>
      <c r="P114" s="159">
        <v>72.613</v>
      </c>
      <c r="Q114" s="157">
        <v>6657</v>
      </c>
    </row>
    <row r="115" spans="1:17" x14ac:dyDescent="0.25">
      <c r="A115">
        <v>2011</v>
      </c>
      <c r="B115" s="6">
        <v>15</v>
      </c>
      <c r="C115" s="5" t="str">
        <f t="shared" si="1"/>
        <v>15_2011</v>
      </c>
      <c r="D115" s="74">
        <f>0.848*100</f>
        <v>84.8</v>
      </c>
      <c r="E115" s="74">
        <v>67.17</v>
      </c>
      <c r="F115" s="155">
        <v>7736</v>
      </c>
      <c r="G115" s="74">
        <v>78.710000000000008</v>
      </c>
      <c r="H115" s="74">
        <v>81.45</v>
      </c>
      <c r="I115" s="74">
        <v>67.679999999999993</v>
      </c>
      <c r="J115" s="155">
        <v>6756</v>
      </c>
      <c r="K115" s="74">
        <v>69.23</v>
      </c>
      <c r="L115" s="74">
        <v>53.98</v>
      </c>
      <c r="M115" s="74">
        <v>53.400000000000006</v>
      </c>
      <c r="N115" s="74">
        <v>75.25</v>
      </c>
      <c r="O115" s="74">
        <v>0</v>
      </c>
      <c r="P115" s="74">
        <v>0</v>
      </c>
      <c r="Q115" s="156">
        <v>0</v>
      </c>
    </row>
    <row r="116" spans="1:17" x14ac:dyDescent="0.25">
      <c r="A116">
        <v>2012</v>
      </c>
      <c r="B116" s="6">
        <v>15</v>
      </c>
      <c r="C116" s="5" t="str">
        <f t="shared" si="1"/>
        <v>15_2012</v>
      </c>
      <c r="D116" s="74">
        <f>0.8719*100</f>
        <v>87.19</v>
      </c>
      <c r="E116" s="74">
        <v>76.459999999999994</v>
      </c>
      <c r="F116" s="155">
        <v>8853.5</v>
      </c>
      <c r="G116" s="74">
        <v>90.11</v>
      </c>
      <c r="H116" s="74">
        <v>81.17</v>
      </c>
      <c r="I116" s="74">
        <v>77.16</v>
      </c>
      <c r="J116" s="155">
        <v>6875.5</v>
      </c>
      <c r="K116" s="74">
        <v>68.459999999999994</v>
      </c>
      <c r="L116" s="74">
        <v>45.300000000000004</v>
      </c>
      <c r="M116" s="74">
        <v>51.09</v>
      </c>
      <c r="N116" s="74">
        <v>36.159999999999997</v>
      </c>
      <c r="O116" s="74">
        <v>63.94</v>
      </c>
      <c r="P116" s="74">
        <v>56.16</v>
      </c>
      <c r="Q116" s="155">
        <v>4612</v>
      </c>
    </row>
    <row r="117" spans="1:17" x14ac:dyDescent="0.25">
      <c r="A117">
        <v>2013</v>
      </c>
      <c r="B117" s="6">
        <v>15</v>
      </c>
      <c r="C117" s="5" t="str">
        <f t="shared" si="1"/>
        <v>15_2013</v>
      </c>
      <c r="D117" s="74">
        <f>0.9206*100</f>
        <v>92.06</v>
      </c>
      <c r="E117" s="74">
        <v>83.61</v>
      </c>
      <c r="F117" s="155">
        <v>9463</v>
      </c>
      <c r="G117" s="74">
        <v>94.15</v>
      </c>
      <c r="H117" s="74">
        <v>79.650000000000006</v>
      </c>
      <c r="I117" s="74">
        <v>73.39</v>
      </c>
      <c r="J117" s="155">
        <v>7949</v>
      </c>
      <c r="K117" s="74">
        <v>80.430000000000007</v>
      </c>
      <c r="L117" s="74">
        <v>61.18</v>
      </c>
      <c r="M117" s="74">
        <v>49.11</v>
      </c>
      <c r="N117" s="74">
        <v>48.730000000000004</v>
      </c>
      <c r="O117" s="74">
        <v>70.48</v>
      </c>
      <c r="P117" s="74">
        <v>65.73</v>
      </c>
      <c r="Q117" s="155">
        <v>5230</v>
      </c>
    </row>
    <row r="118" spans="1:17" x14ac:dyDescent="0.25">
      <c r="A118">
        <v>2014</v>
      </c>
      <c r="B118" s="6">
        <v>15</v>
      </c>
      <c r="C118" s="5" t="str">
        <f t="shared" si="1"/>
        <v>15_2014</v>
      </c>
      <c r="D118" s="74">
        <f>0.9465*100</f>
        <v>94.65</v>
      </c>
      <c r="E118" s="74">
        <v>88.67</v>
      </c>
      <c r="F118" s="155">
        <v>10450</v>
      </c>
      <c r="G118" s="74">
        <v>97.66</v>
      </c>
      <c r="H118" s="74">
        <v>87.13</v>
      </c>
      <c r="I118" s="74">
        <v>80</v>
      </c>
      <c r="J118" s="155">
        <v>7738</v>
      </c>
      <c r="K118" s="74">
        <v>35.4</v>
      </c>
      <c r="L118" s="74">
        <v>82.46</v>
      </c>
      <c r="M118" s="74">
        <v>74.56</v>
      </c>
      <c r="N118" s="74">
        <v>55.000000000000007</v>
      </c>
      <c r="O118" s="74">
        <v>73.75</v>
      </c>
      <c r="P118" s="74">
        <v>68.910000000000011</v>
      </c>
      <c r="Q118" s="155">
        <v>5347.5</v>
      </c>
    </row>
    <row r="119" spans="1:17" x14ac:dyDescent="0.25">
      <c r="A119">
        <v>2015</v>
      </c>
      <c r="B119" s="6">
        <v>15</v>
      </c>
      <c r="C119" s="5" t="str">
        <f t="shared" si="1"/>
        <v>15_2015</v>
      </c>
      <c r="D119" s="74">
        <f>0.8899*100</f>
        <v>88.990000000000009</v>
      </c>
      <c r="E119" s="74">
        <v>89.48</v>
      </c>
      <c r="F119" s="155">
        <v>10148</v>
      </c>
      <c r="G119" s="74">
        <v>97.56</v>
      </c>
      <c r="H119" s="74">
        <v>88.3</v>
      </c>
      <c r="I119" s="74">
        <v>81.239999999999995</v>
      </c>
      <c r="J119" s="155">
        <v>7865</v>
      </c>
      <c r="K119" s="74">
        <v>48.03</v>
      </c>
      <c r="L119" s="74">
        <v>75.83</v>
      </c>
      <c r="M119" s="74">
        <v>75.89</v>
      </c>
      <c r="N119" s="74">
        <v>60.440000000000005</v>
      </c>
      <c r="O119" s="74">
        <v>65.45</v>
      </c>
      <c r="P119" s="74">
        <v>66.600000000000009</v>
      </c>
      <c r="Q119" s="155">
        <v>5587</v>
      </c>
    </row>
    <row r="120" spans="1:17" x14ac:dyDescent="0.25">
      <c r="A120">
        <v>2016</v>
      </c>
      <c r="B120" s="6">
        <v>15</v>
      </c>
      <c r="C120" s="5" t="str">
        <f t="shared" si="1"/>
        <v>15_2016</v>
      </c>
      <c r="D120" s="74">
        <f>0.855182926829268*100</f>
        <v>85.518292682926798</v>
      </c>
      <c r="E120" s="74">
        <v>84.885126964933505</v>
      </c>
      <c r="F120" s="155">
        <v>9793</v>
      </c>
      <c r="G120" s="74">
        <v>0</v>
      </c>
      <c r="H120" s="74">
        <v>83.58473824312334</v>
      </c>
      <c r="I120" s="74">
        <v>82.363977485928714</v>
      </c>
      <c r="J120" s="155">
        <v>8962</v>
      </c>
      <c r="K120" s="74">
        <v>0</v>
      </c>
      <c r="L120" s="74">
        <v>76.13293051359517</v>
      </c>
      <c r="M120" s="74">
        <v>72.259507829977636</v>
      </c>
      <c r="N120" s="74">
        <v>0</v>
      </c>
      <c r="O120" s="74">
        <v>60.783407681234117</v>
      </c>
      <c r="P120" s="74">
        <v>59.388725874355288</v>
      </c>
      <c r="Q120" s="155">
        <v>6661</v>
      </c>
    </row>
    <row r="121" spans="1:17" x14ac:dyDescent="0.25">
      <c r="A121">
        <v>2017</v>
      </c>
      <c r="B121" s="6">
        <v>15</v>
      </c>
      <c r="C121" s="5" t="str">
        <f t="shared" si="1"/>
        <v>15_2017</v>
      </c>
      <c r="D121" s="136">
        <v>93.9</v>
      </c>
      <c r="E121" s="136">
        <v>90.9</v>
      </c>
      <c r="F121" s="136">
        <v>8662</v>
      </c>
      <c r="G121" s="136">
        <v>83.7</v>
      </c>
      <c r="H121" s="136">
        <v>92.8</v>
      </c>
      <c r="I121" s="136">
        <v>89.2</v>
      </c>
      <c r="J121" s="136">
        <v>7512</v>
      </c>
      <c r="K121" s="136">
        <v>86.2</v>
      </c>
      <c r="L121" s="136">
        <v>88.7</v>
      </c>
      <c r="M121" s="136">
        <v>91.7</v>
      </c>
      <c r="N121" s="136">
        <v>97.7</v>
      </c>
      <c r="O121" s="136">
        <v>68.3</v>
      </c>
      <c r="P121" s="136">
        <v>68.8</v>
      </c>
      <c r="Q121" s="136">
        <v>5980</v>
      </c>
    </row>
    <row r="122" spans="1:17" x14ac:dyDescent="0.25">
      <c r="A122" s="14">
        <v>20181</v>
      </c>
      <c r="B122" s="6">
        <v>15</v>
      </c>
      <c r="C122" s="5" t="str">
        <f t="shared" si="1"/>
        <v>15_20181</v>
      </c>
      <c r="D122" s="74">
        <v>92.93</v>
      </c>
      <c r="E122" s="74">
        <v>90.08</v>
      </c>
      <c r="F122" s="157">
        <v>8414</v>
      </c>
      <c r="G122" s="158">
        <v>86.538000000000011</v>
      </c>
      <c r="H122" s="159">
        <v>92.873000000000005</v>
      </c>
      <c r="I122" s="159">
        <v>89.39200000000001</v>
      </c>
      <c r="J122" s="157">
        <v>7723</v>
      </c>
      <c r="K122" s="158">
        <v>87.89200000000001</v>
      </c>
      <c r="L122" s="159">
        <v>85.811999999999998</v>
      </c>
      <c r="M122" s="159">
        <v>86.164000000000001</v>
      </c>
      <c r="N122" s="159">
        <v>83.950999999999993</v>
      </c>
      <c r="O122" s="159">
        <v>66.852999999999994</v>
      </c>
      <c r="P122" s="159">
        <v>68.347999999999999</v>
      </c>
      <c r="Q122" s="157">
        <v>5961</v>
      </c>
    </row>
    <row r="123" spans="1:17" x14ac:dyDescent="0.25">
      <c r="A123">
        <v>2011</v>
      </c>
      <c r="B123" s="6">
        <v>16</v>
      </c>
      <c r="C123" s="5" t="str">
        <f t="shared" si="1"/>
        <v>16_2011</v>
      </c>
      <c r="D123" s="74">
        <f>0.9369*100</f>
        <v>93.69</v>
      </c>
      <c r="E123" s="74">
        <v>83.03</v>
      </c>
      <c r="F123" s="155">
        <v>10133</v>
      </c>
      <c r="G123" s="74">
        <v>98.98</v>
      </c>
      <c r="H123" s="74">
        <v>89.86</v>
      </c>
      <c r="I123" s="74">
        <v>75.72</v>
      </c>
      <c r="J123" s="155">
        <v>6807</v>
      </c>
      <c r="K123" s="74">
        <v>94.81</v>
      </c>
      <c r="L123" s="74">
        <v>71.91</v>
      </c>
      <c r="M123" s="74">
        <v>62.88</v>
      </c>
      <c r="N123" s="74">
        <v>98.839999999999989</v>
      </c>
      <c r="O123" s="74">
        <v>0</v>
      </c>
      <c r="P123" s="74">
        <v>0</v>
      </c>
      <c r="Q123" s="156">
        <v>0</v>
      </c>
    </row>
    <row r="124" spans="1:17" x14ac:dyDescent="0.25">
      <c r="A124">
        <v>2012</v>
      </c>
      <c r="B124" s="6">
        <v>16</v>
      </c>
      <c r="C124" s="5" t="str">
        <f t="shared" si="1"/>
        <v>16_2012</v>
      </c>
      <c r="D124" s="74">
        <f>0.941*100</f>
        <v>94.1</v>
      </c>
      <c r="E124" s="74">
        <v>91.8</v>
      </c>
      <c r="F124" s="155">
        <v>7760</v>
      </c>
      <c r="G124" s="74">
        <v>88.71</v>
      </c>
      <c r="H124" s="74">
        <v>93.24</v>
      </c>
      <c r="I124" s="74">
        <v>83.23</v>
      </c>
      <c r="J124" s="155">
        <v>7118</v>
      </c>
      <c r="K124" s="74">
        <v>91.94</v>
      </c>
      <c r="L124" s="74">
        <v>72.52</v>
      </c>
      <c r="M124" s="74">
        <v>68.87</v>
      </c>
      <c r="N124" s="74">
        <v>97.64</v>
      </c>
      <c r="O124" s="74">
        <v>68.73</v>
      </c>
      <c r="P124" s="74">
        <v>60.56</v>
      </c>
      <c r="Q124" s="155">
        <v>4877</v>
      </c>
    </row>
    <row r="125" spans="1:17" x14ac:dyDescent="0.25">
      <c r="A125">
        <v>2013</v>
      </c>
      <c r="B125" s="6">
        <v>16</v>
      </c>
      <c r="C125" s="5" t="str">
        <f t="shared" si="1"/>
        <v>16_2013</v>
      </c>
      <c r="D125" s="74">
        <f>0.9299*100</f>
        <v>92.99</v>
      </c>
      <c r="E125" s="74">
        <v>85.11</v>
      </c>
      <c r="F125" s="155">
        <v>8736</v>
      </c>
      <c r="G125" s="74">
        <v>86.65</v>
      </c>
      <c r="H125" s="74">
        <v>90.53</v>
      </c>
      <c r="I125" s="74">
        <v>85.45</v>
      </c>
      <c r="J125" s="155">
        <v>6930.5</v>
      </c>
      <c r="K125" s="74">
        <v>88.74</v>
      </c>
      <c r="L125" s="74">
        <v>74.550000000000011</v>
      </c>
      <c r="M125" s="74">
        <v>71.930000000000007</v>
      </c>
      <c r="N125" s="74">
        <v>99.09</v>
      </c>
      <c r="O125" s="74">
        <v>65.91</v>
      </c>
      <c r="P125" s="74">
        <v>63.2</v>
      </c>
      <c r="Q125" s="155">
        <v>5105</v>
      </c>
    </row>
    <row r="126" spans="1:17" x14ac:dyDescent="0.25">
      <c r="A126">
        <v>2014</v>
      </c>
      <c r="B126" s="6">
        <v>16</v>
      </c>
      <c r="C126" s="5" t="str">
        <f t="shared" si="1"/>
        <v>16_2014</v>
      </c>
      <c r="D126" s="74">
        <f>0.9246*100</f>
        <v>92.46</v>
      </c>
      <c r="E126" s="74">
        <v>91.45</v>
      </c>
      <c r="F126" s="155">
        <v>8720</v>
      </c>
      <c r="G126" s="74">
        <v>94.24</v>
      </c>
      <c r="H126" s="74">
        <v>88.55</v>
      </c>
      <c r="I126" s="74">
        <v>85.67</v>
      </c>
      <c r="J126" s="155">
        <v>6793</v>
      </c>
      <c r="K126" s="74">
        <v>83.33</v>
      </c>
      <c r="L126" s="74">
        <v>78.210000000000008</v>
      </c>
      <c r="M126" s="74">
        <v>68.679999999999993</v>
      </c>
      <c r="N126" s="74">
        <v>72.08</v>
      </c>
      <c r="O126" s="74">
        <v>66.400000000000006</v>
      </c>
      <c r="P126" s="74">
        <v>64.739999999999995</v>
      </c>
      <c r="Q126" s="155">
        <v>4964</v>
      </c>
    </row>
    <row r="127" spans="1:17" x14ac:dyDescent="0.25">
      <c r="A127">
        <v>2015</v>
      </c>
      <c r="B127" s="6">
        <v>16</v>
      </c>
      <c r="C127" s="5" t="str">
        <f t="shared" si="1"/>
        <v>16_2015</v>
      </c>
      <c r="D127" s="74">
        <f>0.9245*100</f>
        <v>92.45</v>
      </c>
      <c r="E127" s="74">
        <v>87.17</v>
      </c>
      <c r="F127" s="155">
        <v>9122.5</v>
      </c>
      <c r="G127" s="74">
        <v>96.59</v>
      </c>
      <c r="H127" s="74">
        <v>87.56</v>
      </c>
      <c r="I127" s="74">
        <v>85.08</v>
      </c>
      <c r="J127" s="155">
        <v>8002</v>
      </c>
      <c r="K127" s="74">
        <v>89.710000000000008</v>
      </c>
      <c r="L127" s="74">
        <v>85.44</v>
      </c>
      <c r="M127" s="74">
        <v>79.86999999999999</v>
      </c>
      <c r="N127" s="74">
        <v>96.77</v>
      </c>
      <c r="O127" s="74">
        <v>62.83</v>
      </c>
      <c r="P127" s="74">
        <v>60.8</v>
      </c>
      <c r="Q127" s="155">
        <v>5168</v>
      </c>
    </row>
    <row r="128" spans="1:17" x14ac:dyDescent="0.25">
      <c r="A128">
        <v>2016</v>
      </c>
      <c r="B128" s="6">
        <v>16</v>
      </c>
      <c r="C128" s="5" t="str">
        <f t="shared" si="1"/>
        <v>16_2016</v>
      </c>
      <c r="D128" s="74">
        <f>0.935294117647059*100</f>
        <v>93.529411764705912</v>
      </c>
      <c r="E128" s="74">
        <v>91.56010230179028</v>
      </c>
      <c r="F128" s="155">
        <v>11032</v>
      </c>
      <c r="G128" s="74">
        <v>0</v>
      </c>
      <c r="H128" s="74">
        <v>84.293193717277475</v>
      </c>
      <c r="I128" s="74">
        <v>87.356321839080465</v>
      </c>
      <c r="J128" s="155">
        <v>8898</v>
      </c>
      <c r="K128" s="74">
        <v>0</v>
      </c>
      <c r="L128" s="74">
        <v>69.461077844311376</v>
      </c>
      <c r="M128" s="74">
        <v>62.893081761006286</v>
      </c>
      <c r="N128" s="74">
        <v>0</v>
      </c>
      <c r="O128" s="74">
        <v>64.428157491051635</v>
      </c>
      <c r="P128" s="74">
        <v>60.279627896735846</v>
      </c>
      <c r="Q128" s="155">
        <v>6376</v>
      </c>
    </row>
    <row r="129" spans="1:17" x14ac:dyDescent="0.25">
      <c r="A129">
        <v>2017</v>
      </c>
      <c r="B129" s="6">
        <v>16</v>
      </c>
      <c r="C129" s="5" t="str">
        <f t="shared" si="1"/>
        <v>16_2017</v>
      </c>
      <c r="D129" s="136">
        <v>94</v>
      </c>
      <c r="E129" s="136">
        <v>82.4</v>
      </c>
      <c r="F129" s="136">
        <v>8368</v>
      </c>
      <c r="G129" s="136">
        <v>91.5</v>
      </c>
      <c r="H129" s="136">
        <v>89.8</v>
      </c>
      <c r="I129" s="136">
        <v>92.9</v>
      </c>
      <c r="J129" s="136">
        <v>7608</v>
      </c>
      <c r="K129" s="136">
        <v>88.1</v>
      </c>
      <c r="L129" s="136">
        <v>84.1</v>
      </c>
      <c r="M129" s="136">
        <v>87.5</v>
      </c>
      <c r="N129" s="136">
        <v>93.8</v>
      </c>
      <c r="O129" s="136">
        <v>67</v>
      </c>
      <c r="P129" s="136">
        <v>64.099999999999994</v>
      </c>
      <c r="Q129" s="136">
        <v>5437</v>
      </c>
    </row>
    <row r="130" spans="1:17" x14ac:dyDescent="0.25">
      <c r="A130" s="14">
        <v>20181</v>
      </c>
      <c r="B130" s="6">
        <v>16</v>
      </c>
      <c r="C130" s="5" t="str">
        <f t="shared" si="1"/>
        <v>16_20181</v>
      </c>
      <c r="D130" s="74">
        <v>94.26</v>
      </c>
      <c r="E130" s="74">
        <v>85.71</v>
      </c>
      <c r="F130" s="157">
        <v>8421</v>
      </c>
      <c r="G130" s="158">
        <v>90.164000000000001</v>
      </c>
      <c r="H130" s="159">
        <v>90.475999999999999</v>
      </c>
      <c r="I130" s="159">
        <v>92.233000000000004</v>
      </c>
      <c r="J130" s="157">
        <v>7680</v>
      </c>
      <c r="K130" s="158">
        <v>89.655000000000001</v>
      </c>
      <c r="L130" s="159">
        <v>84.545000000000002</v>
      </c>
      <c r="M130" s="159">
        <v>88.63600000000001</v>
      </c>
      <c r="N130" s="159">
        <v>97.727000000000004</v>
      </c>
      <c r="O130" s="159">
        <v>65.62</v>
      </c>
      <c r="P130" s="159">
        <v>64.912999999999997</v>
      </c>
      <c r="Q130" s="157">
        <v>5625</v>
      </c>
    </row>
    <row r="131" spans="1:17" x14ac:dyDescent="0.25">
      <c r="A131">
        <v>2011</v>
      </c>
      <c r="B131" s="6">
        <v>17</v>
      </c>
      <c r="C131" s="5" t="str">
        <f t="shared" si="1"/>
        <v>17_2011</v>
      </c>
      <c r="D131" s="74">
        <f>0.8896*100</f>
        <v>88.96</v>
      </c>
      <c r="E131" s="74">
        <v>83.58</v>
      </c>
      <c r="F131" s="155">
        <v>10572</v>
      </c>
      <c r="G131" s="74">
        <v>90.69</v>
      </c>
      <c r="H131" s="74">
        <v>81.760000000000005</v>
      </c>
      <c r="I131" s="74">
        <v>76.72</v>
      </c>
      <c r="J131" s="155">
        <v>6681</v>
      </c>
      <c r="K131" s="74">
        <v>90.08</v>
      </c>
      <c r="L131" s="74">
        <v>66.959999999999994</v>
      </c>
      <c r="M131" s="74">
        <v>56.31</v>
      </c>
      <c r="N131" s="74">
        <v>95.58</v>
      </c>
      <c r="O131" s="74">
        <v>0</v>
      </c>
      <c r="P131" s="74">
        <v>0</v>
      </c>
      <c r="Q131" s="156">
        <v>0</v>
      </c>
    </row>
    <row r="132" spans="1:17" x14ac:dyDescent="0.25">
      <c r="A132">
        <v>2012</v>
      </c>
      <c r="B132" s="6">
        <v>17</v>
      </c>
      <c r="C132" s="5" t="str">
        <f t="shared" si="1"/>
        <v>17_2012</v>
      </c>
      <c r="D132" s="74">
        <f>0.8837*100</f>
        <v>88.37</v>
      </c>
      <c r="E132" s="74">
        <v>80.820000000000007</v>
      </c>
      <c r="F132" s="155">
        <v>8143.5</v>
      </c>
      <c r="G132" s="74">
        <v>84.21</v>
      </c>
      <c r="H132" s="74">
        <v>83.49</v>
      </c>
      <c r="I132" s="74">
        <v>71.89</v>
      </c>
      <c r="J132" s="155">
        <v>6421</v>
      </c>
      <c r="K132" s="74">
        <v>80.08</v>
      </c>
      <c r="L132" s="74">
        <v>71.37</v>
      </c>
      <c r="M132" s="74">
        <v>70.27</v>
      </c>
      <c r="N132" s="74">
        <v>92.95</v>
      </c>
      <c r="O132" s="74">
        <v>60.28</v>
      </c>
      <c r="P132" s="74">
        <v>55.44</v>
      </c>
      <c r="Q132" s="155">
        <v>4420</v>
      </c>
    </row>
    <row r="133" spans="1:17" x14ac:dyDescent="0.25">
      <c r="A133">
        <v>2013</v>
      </c>
      <c r="B133" s="6">
        <v>17</v>
      </c>
      <c r="C133" s="5" t="str">
        <f t="shared" si="1"/>
        <v>17_2013</v>
      </c>
      <c r="D133" s="74">
        <f>0.8578*100</f>
        <v>85.78</v>
      </c>
      <c r="E133" s="74">
        <v>82.85</v>
      </c>
      <c r="F133" s="155">
        <v>6312</v>
      </c>
      <c r="G133" s="74">
        <v>66.89</v>
      </c>
      <c r="H133" s="74">
        <v>82.57</v>
      </c>
      <c r="I133" s="74">
        <v>74</v>
      </c>
      <c r="J133" s="155">
        <v>5913.5</v>
      </c>
      <c r="K133" s="74">
        <v>61.08</v>
      </c>
      <c r="L133" s="74">
        <v>64.059999999999988</v>
      </c>
      <c r="M133" s="74">
        <v>58.41</v>
      </c>
      <c r="N133" s="74">
        <v>80.97999999999999</v>
      </c>
      <c r="O133" s="74">
        <v>61.79</v>
      </c>
      <c r="P133" s="74">
        <v>60.06</v>
      </c>
      <c r="Q133" s="155">
        <v>4067</v>
      </c>
    </row>
    <row r="134" spans="1:17" x14ac:dyDescent="0.25">
      <c r="A134">
        <v>2014</v>
      </c>
      <c r="B134" s="6">
        <v>17</v>
      </c>
      <c r="C134" s="5" t="str">
        <f t="shared" si="1"/>
        <v>17_2014</v>
      </c>
      <c r="D134" s="74">
        <f>0.7388*100</f>
        <v>73.88</v>
      </c>
      <c r="E134" s="74">
        <v>78.55</v>
      </c>
      <c r="F134" s="155">
        <v>6819</v>
      </c>
      <c r="G134" s="74">
        <v>69.38</v>
      </c>
      <c r="H134" s="74">
        <v>67.589999999999989</v>
      </c>
      <c r="I134" s="74">
        <v>71.7</v>
      </c>
      <c r="J134" s="155">
        <v>6165</v>
      </c>
      <c r="K134" s="74">
        <v>64.929999999999993</v>
      </c>
      <c r="L134" s="74">
        <v>61.629999999999995</v>
      </c>
      <c r="M134" s="74">
        <v>67.349999999999994</v>
      </c>
      <c r="N134" s="74">
        <v>71.179999999999993</v>
      </c>
      <c r="O134" s="74">
        <v>64.319999999999993</v>
      </c>
      <c r="P134" s="74">
        <v>63.470000000000006</v>
      </c>
      <c r="Q134" s="155">
        <v>4233</v>
      </c>
    </row>
    <row r="135" spans="1:17" x14ac:dyDescent="0.25">
      <c r="A135">
        <v>2015</v>
      </c>
      <c r="B135" s="6">
        <v>17</v>
      </c>
      <c r="C135" s="5" t="str">
        <f t="shared" si="1"/>
        <v>17_2015</v>
      </c>
      <c r="D135" s="74">
        <f>0.7933*100</f>
        <v>79.33</v>
      </c>
      <c r="E135" s="74">
        <v>66.45</v>
      </c>
      <c r="F135" s="155">
        <v>6464</v>
      </c>
      <c r="G135" s="74">
        <v>62.69</v>
      </c>
      <c r="H135" s="74">
        <v>76.64</v>
      </c>
      <c r="I135" s="74">
        <v>60.69</v>
      </c>
      <c r="J135" s="155">
        <v>6750</v>
      </c>
      <c r="K135" s="74">
        <v>53.7</v>
      </c>
      <c r="L135" s="74">
        <v>81.589999999999989</v>
      </c>
      <c r="M135" s="74">
        <v>83.19</v>
      </c>
      <c r="N135" s="74">
        <v>65.100000000000009</v>
      </c>
      <c r="O135" s="74">
        <v>67.190000000000012</v>
      </c>
      <c r="P135" s="74">
        <v>65.41</v>
      </c>
      <c r="Q135" s="155">
        <v>4394</v>
      </c>
    </row>
    <row r="136" spans="1:17" x14ac:dyDescent="0.25">
      <c r="A136">
        <v>2016</v>
      </c>
      <c r="B136" s="6">
        <v>17</v>
      </c>
      <c r="C136" s="5" t="str">
        <f t="shared" si="1"/>
        <v>17_2016</v>
      </c>
      <c r="D136" s="74">
        <f>0.719718309859155*100</f>
        <v>71.971830985915503</v>
      </c>
      <c r="E136" s="74">
        <v>73.042168674698786</v>
      </c>
      <c r="F136" s="155">
        <v>6824</v>
      </c>
      <c r="G136" s="74">
        <v>0</v>
      </c>
      <c r="H136" s="74">
        <v>71.779141104294482</v>
      </c>
      <c r="I136" s="74">
        <v>72.59615384615384</v>
      </c>
      <c r="J136" s="155">
        <v>7064</v>
      </c>
      <c r="K136" s="74">
        <v>0</v>
      </c>
      <c r="L136" s="74">
        <v>72.645739910313907</v>
      </c>
      <c r="M136" s="74">
        <v>82.132564841498549</v>
      </c>
      <c r="N136" s="74">
        <v>0</v>
      </c>
      <c r="O136" s="74">
        <v>65.634146341463421</v>
      </c>
      <c r="P136" s="74">
        <v>64.347093513058127</v>
      </c>
      <c r="Q136" s="155">
        <v>5277</v>
      </c>
    </row>
    <row r="137" spans="1:17" x14ac:dyDescent="0.25">
      <c r="A137">
        <v>2017</v>
      </c>
      <c r="B137" s="6">
        <v>17</v>
      </c>
      <c r="C137" s="5" t="str">
        <f t="shared" si="1"/>
        <v>17_2017</v>
      </c>
      <c r="D137" s="136">
        <v>90.4</v>
      </c>
      <c r="E137" s="136">
        <v>86.1</v>
      </c>
      <c r="F137" s="136">
        <v>6741</v>
      </c>
      <c r="G137" s="136">
        <v>76.400000000000006</v>
      </c>
      <c r="H137" s="136">
        <v>95.7</v>
      </c>
      <c r="I137" s="136">
        <v>96</v>
      </c>
      <c r="J137" s="136">
        <v>8309</v>
      </c>
      <c r="K137" s="136">
        <v>91.7</v>
      </c>
      <c r="L137" s="136">
        <v>77.7</v>
      </c>
      <c r="M137" s="136">
        <v>81.3</v>
      </c>
      <c r="N137" s="136">
        <v>87.3</v>
      </c>
      <c r="O137" s="136">
        <v>69.7</v>
      </c>
      <c r="P137" s="136">
        <v>66.2</v>
      </c>
      <c r="Q137" s="136">
        <v>4688</v>
      </c>
    </row>
    <row r="138" spans="1:17" x14ac:dyDescent="0.25">
      <c r="A138" s="14">
        <v>20181</v>
      </c>
      <c r="B138" s="6">
        <v>17</v>
      </c>
      <c r="C138" s="5" t="str">
        <f t="shared" si="1"/>
        <v>17_20181</v>
      </c>
      <c r="D138" s="74">
        <v>88.46</v>
      </c>
      <c r="E138" s="74">
        <v>84.76</v>
      </c>
      <c r="F138" s="157">
        <v>6945</v>
      </c>
      <c r="G138" s="158">
        <v>72.881</v>
      </c>
      <c r="H138" s="159">
        <v>95.238</v>
      </c>
      <c r="I138" s="159">
        <v>91.429000000000002</v>
      </c>
      <c r="J138" s="157">
        <v>8847</v>
      </c>
      <c r="K138" s="158">
        <v>84.210999999999999</v>
      </c>
      <c r="L138" s="159">
        <v>77.419000000000011</v>
      </c>
      <c r="M138" s="159">
        <v>82.513999999999996</v>
      </c>
      <c r="N138" s="159">
        <v>82.320000000000007</v>
      </c>
      <c r="O138" s="159">
        <v>69.308999999999997</v>
      </c>
      <c r="P138" s="159">
        <v>66.619</v>
      </c>
      <c r="Q138" s="157">
        <v>4638</v>
      </c>
    </row>
    <row r="139" spans="1:17" x14ac:dyDescent="0.25">
      <c r="A139">
        <v>2011</v>
      </c>
      <c r="B139" s="6">
        <v>18</v>
      </c>
      <c r="C139" s="5" t="str">
        <f t="shared" si="1"/>
        <v>18_2011</v>
      </c>
      <c r="D139" s="74">
        <f>0.9457*100</f>
        <v>94.57</v>
      </c>
      <c r="E139" s="74">
        <v>90.98</v>
      </c>
      <c r="F139" s="155">
        <v>10652</v>
      </c>
      <c r="G139" s="74">
        <v>95.34</v>
      </c>
      <c r="H139" s="74">
        <v>85.47</v>
      </c>
      <c r="I139" s="74">
        <v>81.56</v>
      </c>
      <c r="J139" s="155">
        <v>6094.5</v>
      </c>
      <c r="K139" s="74">
        <v>77.37</v>
      </c>
      <c r="L139" s="74">
        <v>57.14</v>
      </c>
      <c r="M139" s="74">
        <v>58.819999999999993</v>
      </c>
      <c r="N139" s="74">
        <v>60.540000000000006</v>
      </c>
      <c r="O139" s="74">
        <v>0</v>
      </c>
      <c r="P139" s="74">
        <v>0</v>
      </c>
      <c r="Q139" s="156">
        <v>0</v>
      </c>
    </row>
    <row r="140" spans="1:17" x14ac:dyDescent="0.25">
      <c r="A140">
        <v>2012</v>
      </c>
      <c r="B140" s="6">
        <v>18</v>
      </c>
      <c r="C140" s="5" t="str">
        <f t="shared" si="1"/>
        <v>18_2012</v>
      </c>
      <c r="D140" s="74">
        <f>0.9568*100</f>
        <v>95.679999999999993</v>
      </c>
      <c r="E140" s="74">
        <v>93.01</v>
      </c>
      <c r="F140" s="155">
        <v>9876</v>
      </c>
      <c r="G140" s="74">
        <v>80.52</v>
      </c>
      <c r="H140" s="74">
        <v>92.57</v>
      </c>
      <c r="I140" s="74">
        <v>88.949999999999989</v>
      </c>
      <c r="J140" s="155">
        <v>7164</v>
      </c>
      <c r="K140" s="74">
        <v>67.430000000000007</v>
      </c>
      <c r="L140" s="74">
        <v>73.17</v>
      </c>
      <c r="M140" s="74">
        <v>60.84</v>
      </c>
      <c r="N140" s="74">
        <v>76.539999999999992</v>
      </c>
      <c r="O140" s="74">
        <v>60.79</v>
      </c>
      <c r="P140" s="74">
        <v>55.35</v>
      </c>
      <c r="Q140" s="155">
        <v>4256.5</v>
      </c>
    </row>
    <row r="141" spans="1:17" x14ac:dyDescent="0.25">
      <c r="A141">
        <v>2013</v>
      </c>
      <c r="B141" s="6">
        <v>18</v>
      </c>
      <c r="C141" s="5" t="str">
        <f t="shared" si="1"/>
        <v>18_2013</v>
      </c>
      <c r="D141" s="74">
        <f>0.9048*100</f>
        <v>90.48</v>
      </c>
      <c r="E141" s="74">
        <v>93.66</v>
      </c>
      <c r="F141" s="155">
        <v>7687</v>
      </c>
      <c r="G141" s="74">
        <v>74.350000000000009</v>
      </c>
      <c r="H141" s="74">
        <v>86.81</v>
      </c>
      <c r="I141" s="74">
        <v>88.14</v>
      </c>
      <c r="J141" s="155">
        <v>7051</v>
      </c>
      <c r="K141" s="74">
        <v>63.749999999999993</v>
      </c>
      <c r="L141" s="74">
        <v>83.48</v>
      </c>
      <c r="M141" s="74">
        <v>74.11999999999999</v>
      </c>
      <c r="N141" s="74">
        <v>81.42</v>
      </c>
      <c r="O141" s="74">
        <v>59.530000000000008</v>
      </c>
      <c r="P141" s="74">
        <v>59.5</v>
      </c>
      <c r="Q141" s="155">
        <v>4525.0749999999998</v>
      </c>
    </row>
    <row r="142" spans="1:17" x14ac:dyDescent="0.25">
      <c r="A142">
        <v>2014</v>
      </c>
      <c r="B142" s="6">
        <v>18</v>
      </c>
      <c r="C142" s="5" t="str">
        <f t="shared" si="1"/>
        <v>18_2014</v>
      </c>
      <c r="D142" s="74">
        <f>0.9071*100</f>
        <v>90.710000000000008</v>
      </c>
      <c r="E142" s="74">
        <v>85.17</v>
      </c>
      <c r="F142" s="155">
        <v>8561</v>
      </c>
      <c r="G142" s="74">
        <v>70.069999999999993</v>
      </c>
      <c r="H142" s="74">
        <v>86.03</v>
      </c>
      <c r="I142" s="74">
        <v>86.16</v>
      </c>
      <c r="J142" s="155">
        <v>7654</v>
      </c>
      <c r="K142" s="74">
        <v>58.160000000000004</v>
      </c>
      <c r="L142" s="74">
        <v>86.839999999999989</v>
      </c>
      <c r="M142" s="74">
        <v>79.84</v>
      </c>
      <c r="N142" s="74">
        <v>81.42</v>
      </c>
      <c r="O142" s="74">
        <v>65.5</v>
      </c>
      <c r="P142" s="74">
        <v>63.080000000000005</v>
      </c>
      <c r="Q142" s="155">
        <v>4710</v>
      </c>
    </row>
    <row r="143" spans="1:17" x14ac:dyDescent="0.25">
      <c r="A143">
        <v>2015</v>
      </c>
      <c r="B143" s="6">
        <v>18</v>
      </c>
      <c r="C143" s="5" t="str">
        <f t="shared" si="1"/>
        <v>18_2015</v>
      </c>
      <c r="D143" s="74">
        <f>0.9402*100</f>
        <v>94.02000000000001</v>
      </c>
      <c r="E143" s="74">
        <v>90.78</v>
      </c>
      <c r="F143" s="155">
        <v>9887</v>
      </c>
      <c r="G143" s="74">
        <v>70.23</v>
      </c>
      <c r="H143" s="74">
        <v>84.61999999999999</v>
      </c>
      <c r="I143" s="74">
        <v>86.240000000000009</v>
      </c>
      <c r="J143" s="155">
        <v>7883.5</v>
      </c>
      <c r="K143" s="74">
        <v>64.290000000000006</v>
      </c>
      <c r="L143" s="74">
        <v>80.33</v>
      </c>
      <c r="M143" s="74">
        <v>90</v>
      </c>
      <c r="N143" s="74">
        <v>69.489999999999995</v>
      </c>
      <c r="O143" s="74">
        <v>68.77</v>
      </c>
      <c r="P143" s="74">
        <v>66.710000000000008</v>
      </c>
      <c r="Q143" s="155">
        <v>4770</v>
      </c>
    </row>
    <row r="144" spans="1:17" x14ac:dyDescent="0.25">
      <c r="A144">
        <v>2016</v>
      </c>
      <c r="B144" s="6">
        <v>18</v>
      </c>
      <c r="C144" s="5" t="str">
        <f t="shared" si="1"/>
        <v>18_2016</v>
      </c>
      <c r="D144" s="74">
        <f>0.942643391521197*100</f>
        <v>94.264339152119703</v>
      </c>
      <c r="E144" s="74">
        <v>92.32673267326733</v>
      </c>
      <c r="F144" s="155">
        <v>10473</v>
      </c>
      <c r="G144" s="74">
        <v>0</v>
      </c>
      <c r="H144" s="74">
        <v>84.313725490196077</v>
      </c>
      <c r="I144" s="74">
        <v>81.967213114754102</v>
      </c>
      <c r="J144" s="155">
        <v>8074</v>
      </c>
      <c r="K144" s="74">
        <v>0</v>
      </c>
      <c r="L144" s="74">
        <v>90.476190476190482</v>
      </c>
      <c r="M144" s="74">
        <v>76.5625</v>
      </c>
      <c r="N144" s="74">
        <v>0</v>
      </c>
      <c r="O144" s="74">
        <v>66.429902189101071</v>
      </c>
      <c r="P144" s="74">
        <v>64.879253567508229</v>
      </c>
      <c r="Q144" s="155">
        <v>5706</v>
      </c>
    </row>
    <row r="145" spans="1:17" x14ac:dyDescent="0.25">
      <c r="A145">
        <v>2017</v>
      </c>
      <c r="B145" s="6">
        <v>18</v>
      </c>
      <c r="C145" s="5" t="str">
        <f t="shared" si="1"/>
        <v>18_2017</v>
      </c>
      <c r="D145" s="136">
        <v>96.4</v>
      </c>
      <c r="E145" s="136">
        <v>96.7</v>
      </c>
      <c r="F145" s="136">
        <v>8895</v>
      </c>
      <c r="G145" s="136">
        <v>90.8</v>
      </c>
      <c r="H145" s="136">
        <v>95.5</v>
      </c>
      <c r="I145" s="136">
        <v>75</v>
      </c>
      <c r="J145" s="136">
        <v>7818</v>
      </c>
      <c r="K145" s="136">
        <v>66.7</v>
      </c>
      <c r="L145" s="136">
        <v>89.5</v>
      </c>
      <c r="M145" s="136">
        <v>88.8</v>
      </c>
      <c r="N145" s="136">
        <v>86.5</v>
      </c>
      <c r="O145" s="136">
        <v>69.599999999999994</v>
      </c>
      <c r="P145" s="136">
        <v>69.400000000000006</v>
      </c>
      <c r="Q145" s="136">
        <v>5181</v>
      </c>
    </row>
    <row r="146" spans="1:17" x14ac:dyDescent="0.25">
      <c r="A146" s="14">
        <v>20181</v>
      </c>
      <c r="B146" s="6">
        <v>18</v>
      </c>
      <c r="C146" s="5" t="str">
        <f t="shared" si="1"/>
        <v>18_20181</v>
      </c>
      <c r="D146" s="74">
        <v>95.31</v>
      </c>
      <c r="E146" s="74">
        <v>97.25</v>
      </c>
      <c r="F146" s="157">
        <v>8890</v>
      </c>
      <c r="G146" s="158">
        <v>89.431000000000012</v>
      </c>
      <c r="H146" s="159">
        <v>95</v>
      </c>
      <c r="I146" s="159">
        <v>81.817999999999998</v>
      </c>
      <c r="J146" s="157">
        <v>7818</v>
      </c>
      <c r="K146" s="158">
        <v>83.332999999999998</v>
      </c>
      <c r="L146" s="159">
        <v>84.706000000000003</v>
      </c>
      <c r="M146" s="159">
        <v>87.826000000000008</v>
      </c>
      <c r="N146" s="159">
        <v>85.567000000000007</v>
      </c>
      <c r="O146" s="159">
        <v>69.39</v>
      </c>
      <c r="P146" s="159">
        <v>68.567000000000007</v>
      </c>
      <c r="Q146" s="157">
        <v>5307</v>
      </c>
    </row>
    <row r="147" spans="1:17" x14ac:dyDescent="0.25">
      <c r="A147">
        <v>2011</v>
      </c>
      <c r="B147" s="6">
        <v>19</v>
      </c>
      <c r="C147" s="5" t="str">
        <f t="shared" si="1"/>
        <v>19_2011</v>
      </c>
      <c r="D147" s="74">
        <f>0.8216*100</f>
        <v>82.16</v>
      </c>
      <c r="E147" s="74">
        <v>70.63000000000001</v>
      </c>
      <c r="F147" s="155">
        <v>7805.5</v>
      </c>
      <c r="G147" s="74">
        <v>95.899999999999991</v>
      </c>
      <c r="H147" s="74">
        <v>88.89</v>
      </c>
      <c r="I147" s="74">
        <v>100</v>
      </c>
      <c r="J147" s="155">
        <v>5215</v>
      </c>
      <c r="K147" s="74">
        <v>84.61999999999999</v>
      </c>
      <c r="L147" s="74">
        <v>76.62</v>
      </c>
      <c r="M147" s="74">
        <v>75.38</v>
      </c>
      <c r="N147" s="74">
        <v>85.71</v>
      </c>
      <c r="O147" s="74">
        <v>0</v>
      </c>
      <c r="P147" s="74">
        <v>0</v>
      </c>
      <c r="Q147" s="156">
        <v>0</v>
      </c>
    </row>
    <row r="148" spans="1:17" x14ac:dyDescent="0.25">
      <c r="A148">
        <v>2012</v>
      </c>
      <c r="B148" s="6">
        <v>19</v>
      </c>
      <c r="C148" s="5" t="str">
        <f t="shared" si="1"/>
        <v>19_2012</v>
      </c>
      <c r="D148" s="74">
        <f>0.8909*100</f>
        <v>89.09</v>
      </c>
      <c r="E148" s="74">
        <v>84.71</v>
      </c>
      <c r="F148" s="155">
        <v>8755.5</v>
      </c>
      <c r="G148" s="74">
        <v>94.12</v>
      </c>
      <c r="H148" s="74">
        <v>88.89</v>
      </c>
      <c r="I148" s="74">
        <v>75</v>
      </c>
      <c r="J148" s="155">
        <v>7286</v>
      </c>
      <c r="K148" s="74">
        <v>100</v>
      </c>
      <c r="L148" s="74">
        <v>88.460000000000008</v>
      </c>
      <c r="M148" s="74">
        <v>77.27000000000001</v>
      </c>
      <c r="N148" s="74">
        <v>94.23</v>
      </c>
      <c r="O148" s="74">
        <v>62.79</v>
      </c>
      <c r="P148" s="74">
        <v>55.55</v>
      </c>
      <c r="Q148" s="155">
        <v>3877</v>
      </c>
    </row>
    <row r="149" spans="1:17" x14ac:dyDescent="0.25">
      <c r="A149">
        <v>2013</v>
      </c>
      <c r="B149" s="6">
        <v>19</v>
      </c>
      <c r="C149" s="5" t="str">
        <f t="shared" si="1"/>
        <v>19_2013</v>
      </c>
      <c r="D149" s="74">
        <f>0.8932*100</f>
        <v>89.32</v>
      </c>
      <c r="E149" s="74">
        <v>79.210000000000008</v>
      </c>
      <c r="F149" s="155">
        <v>7711</v>
      </c>
      <c r="G149" s="74">
        <v>98.61</v>
      </c>
      <c r="H149" s="74">
        <v>92</v>
      </c>
      <c r="I149" s="74">
        <v>96.15</v>
      </c>
      <c r="J149" s="155">
        <v>6079</v>
      </c>
      <c r="K149" s="74">
        <v>95</v>
      </c>
      <c r="L149" s="74">
        <v>92.77</v>
      </c>
      <c r="M149" s="74">
        <v>88.52</v>
      </c>
      <c r="N149" s="74">
        <v>95.179999999999993</v>
      </c>
      <c r="O149" s="74">
        <v>64.33</v>
      </c>
      <c r="P149" s="74">
        <v>62.57</v>
      </c>
      <c r="Q149" s="155">
        <v>4284</v>
      </c>
    </row>
    <row r="150" spans="1:17" x14ac:dyDescent="0.25">
      <c r="A150">
        <v>2014</v>
      </c>
      <c r="B150" s="6">
        <v>19</v>
      </c>
      <c r="C150" s="5" t="str">
        <f t="shared" si="1"/>
        <v>19_2014</v>
      </c>
      <c r="D150" s="74">
        <f>0.9733*100</f>
        <v>97.330000000000013</v>
      </c>
      <c r="E150" s="74">
        <v>85.88</v>
      </c>
      <c r="F150" s="155">
        <v>7686.5</v>
      </c>
      <c r="G150" s="74">
        <v>95.71</v>
      </c>
      <c r="H150" s="74">
        <v>80</v>
      </c>
      <c r="I150" s="74">
        <v>86.67</v>
      </c>
      <c r="J150" s="155">
        <v>8373.5</v>
      </c>
      <c r="K150" s="74">
        <v>83.33</v>
      </c>
      <c r="L150" s="74">
        <v>92.97</v>
      </c>
      <c r="M150" s="74">
        <v>87.85</v>
      </c>
      <c r="N150" s="74">
        <v>96.88</v>
      </c>
      <c r="O150" s="74">
        <v>68</v>
      </c>
      <c r="P150" s="74">
        <v>63.73</v>
      </c>
      <c r="Q150" s="155">
        <v>4231.75</v>
      </c>
    </row>
    <row r="151" spans="1:17" x14ac:dyDescent="0.25">
      <c r="A151">
        <v>2015</v>
      </c>
      <c r="B151" s="6">
        <v>19</v>
      </c>
      <c r="C151" s="5" t="str">
        <f t="shared" si="1"/>
        <v>19_2015</v>
      </c>
      <c r="D151" s="74">
        <f>0.933*100</f>
        <v>93.300000000000011</v>
      </c>
      <c r="E151" s="74">
        <v>92.52</v>
      </c>
      <c r="F151" s="155">
        <v>9407.5</v>
      </c>
      <c r="G151" s="74">
        <v>91.19</v>
      </c>
      <c r="H151" s="74">
        <v>92.31</v>
      </c>
      <c r="I151" s="74">
        <v>92.86</v>
      </c>
      <c r="J151" s="155">
        <v>6482</v>
      </c>
      <c r="K151" s="74">
        <v>81.820000000000007</v>
      </c>
      <c r="L151" s="74">
        <v>93.08</v>
      </c>
      <c r="M151" s="74">
        <v>88.75</v>
      </c>
      <c r="N151" s="74">
        <v>97.69</v>
      </c>
      <c r="O151" s="74">
        <v>70.77</v>
      </c>
      <c r="P151" s="74">
        <v>64.36</v>
      </c>
      <c r="Q151" s="155">
        <v>4677.5</v>
      </c>
    </row>
    <row r="152" spans="1:17" x14ac:dyDescent="0.25">
      <c r="A152">
        <v>2016</v>
      </c>
      <c r="B152" s="6">
        <v>19</v>
      </c>
      <c r="C152" s="5" t="str">
        <f t="shared" si="1"/>
        <v>19_2016</v>
      </c>
      <c r="D152" s="74">
        <f>0.93*100</f>
        <v>93</v>
      </c>
      <c r="E152" s="74">
        <v>93.902439024390233</v>
      </c>
      <c r="F152" s="155">
        <v>10455</v>
      </c>
      <c r="G152" s="74">
        <v>0</v>
      </c>
      <c r="H152" s="74">
        <v>66.666666666666657</v>
      </c>
      <c r="I152" s="74">
        <v>80</v>
      </c>
      <c r="J152" s="155">
        <v>8634</v>
      </c>
      <c r="K152" s="74">
        <v>0</v>
      </c>
      <c r="L152" s="74">
        <v>84.210526315789465</v>
      </c>
      <c r="M152" s="74">
        <v>82.926829268292678</v>
      </c>
      <c r="N152" s="74">
        <v>0</v>
      </c>
      <c r="O152" s="74">
        <v>66.692991115498529</v>
      </c>
      <c r="P152" s="74">
        <v>63.487241798298911</v>
      </c>
      <c r="Q152" s="155">
        <v>4969</v>
      </c>
    </row>
    <row r="153" spans="1:17" x14ac:dyDescent="0.25">
      <c r="A153">
        <v>2017</v>
      </c>
      <c r="B153" s="6">
        <v>19</v>
      </c>
      <c r="C153" s="5" t="str">
        <f t="shared" si="1"/>
        <v>19_2017</v>
      </c>
      <c r="D153" s="136">
        <v>84</v>
      </c>
      <c r="E153" s="136">
        <v>83.3</v>
      </c>
      <c r="F153" s="136">
        <v>10653</v>
      </c>
      <c r="G153" s="136">
        <v>100</v>
      </c>
      <c r="H153" s="74">
        <v>0</v>
      </c>
      <c r="I153" s="136"/>
      <c r="J153" s="136"/>
      <c r="K153" s="136"/>
      <c r="L153" s="136">
        <v>91.7</v>
      </c>
      <c r="M153" s="136">
        <v>92</v>
      </c>
      <c r="N153" s="136">
        <v>96</v>
      </c>
      <c r="O153" s="136">
        <v>71.900000000000006</v>
      </c>
      <c r="P153" s="136">
        <v>65.2</v>
      </c>
      <c r="Q153" s="136">
        <v>4885</v>
      </c>
    </row>
    <row r="154" spans="1:17" x14ac:dyDescent="0.25">
      <c r="A154" s="14">
        <v>20181</v>
      </c>
      <c r="B154" s="6">
        <v>19</v>
      </c>
      <c r="C154" s="5" t="str">
        <f t="shared" si="1"/>
        <v>19_20181</v>
      </c>
      <c r="D154" s="74">
        <v>82.98</v>
      </c>
      <c r="E154" s="74">
        <v>85.11</v>
      </c>
      <c r="F154" s="157">
        <v>11332</v>
      </c>
      <c r="G154" s="158">
        <v>90.908999999999992</v>
      </c>
      <c r="H154" s="159">
        <v>0</v>
      </c>
      <c r="I154" s="159">
        <v>0</v>
      </c>
      <c r="J154" s="157"/>
      <c r="K154" s="158">
        <v>0</v>
      </c>
      <c r="L154" s="159">
        <v>93.103000000000009</v>
      </c>
      <c r="M154" s="159">
        <v>92.593000000000004</v>
      </c>
      <c r="N154" s="159">
        <v>96.296000000000006</v>
      </c>
      <c r="O154" s="159">
        <v>71.335999999999999</v>
      </c>
      <c r="P154" s="159">
        <v>65.733000000000004</v>
      </c>
      <c r="Q154" s="157">
        <v>4982</v>
      </c>
    </row>
    <row r="155" spans="1:17" x14ac:dyDescent="0.25">
      <c r="A155">
        <v>2011</v>
      </c>
      <c r="B155" s="6">
        <v>20</v>
      </c>
      <c r="C155" s="5" t="str">
        <f t="shared" si="1"/>
        <v>20_2011</v>
      </c>
      <c r="D155" s="74">
        <f>0.8049*100</f>
        <v>80.489999999999995</v>
      </c>
      <c r="E155" s="74">
        <v>88.03</v>
      </c>
      <c r="F155" s="155">
        <v>6795</v>
      </c>
      <c r="G155" s="74">
        <v>63.88</v>
      </c>
      <c r="H155" s="74">
        <v>80.83</v>
      </c>
      <c r="I155" s="74">
        <v>82.179999999999993</v>
      </c>
      <c r="J155" s="155">
        <v>6351</v>
      </c>
      <c r="K155" s="74">
        <v>60.809999999999995</v>
      </c>
      <c r="L155" s="74">
        <v>52.38</v>
      </c>
      <c r="M155" s="74">
        <v>52.239999999999995</v>
      </c>
      <c r="N155" s="74">
        <v>59.34</v>
      </c>
      <c r="O155" s="74">
        <v>0</v>
      </c>
      <c r="P155" s="74">
        <v>0</v>
      </c>
      <c r="Q155" s="156">
        <v>0</v>
      </c>
    </row>
    <row r="156" spans="1:17" x14ac:dyDescent="0.25">
      <c r="A156">
        <v>2012</v>
      </c>
      <c r="B156" s="6">
        <v>20</v>
      </c>
      <c r="C156" s="5" t="str">
        <f t="shared" si="1"/>
        <v>20_2012</v>
      </c>
      <c r="D156" s="74">
        <f>0.8885*100</f>
        <v>88.85</v>
      </c>
      <c r="E156" s="74">
        <v>73.58</v>
      </c>
      <c r="F156" s="155">
        <v>6922</v>
      </c>
      <c r="G156" s="74">
        <v>68.66</v>
      </c>
      <c r="H156" s="74">
        <v>83.65</v>
      </c>
      <c r="I156" s="74">
        <v>72.39</v>
      </c>
      <c r="J156" s="155">
        <v>6190</v>
      </c>
      <c r="K156" s="74">
        <v>58.64</v>
      </c>
      <c r="L156" s="74">
        <v>51.21</v>
      </c>
      <c r="M156" s="74">
        <v>61.95</v>
      </c>
      <c r="N156" s="74">
        <v>31.14</v>
      </c>
      <c r="O156" s="74">
        <v>56.499999999999993</v>
      </c>
      <c r="P156" s="74">
        <v>52.65</v>
      </c>
      <c r="Q156" s="155">
        <v>4526</v>
      </c>
    </row>
    <row r="157" spans="1:17" x14ac:dyDescent="0.25">
      <c r="A157">
        <v>2013</v>
      </c>
      <c r="B157" s="6">
        <v>20</v>
      </c>
      <c r="C157" s="5" t="str">
        <f t="shared" si="1"/>
        <v>20_2013</v>
      </c>
      <c r="D157" s="74">
        <f>0.7982*100</f>
        <v>79.820000000000007</v>
      </c>
      <c r="E157" s="74">
        <v>81.820000000000007</v>
      </c>
      <c r="F157" s="155">
        <v>7483.5</v>
      </c>
      <c r="G157" s="74">
        <v>62.639999999999993</v>
      </c>
      <c r="H157" s="74">
        <v>81.67</v>
      </c>
      <c r="I157" s="74">
        <v>78.89</v>
      </c>
      <c r="J157" s="155">
        <v>6164</v>
      </c>
      <c r="K157" s="74">
        <v>58.589999999999996</v>
      </c>
      <c r="L157" s="74">
        <v>83.16</v>
      </c>
      <c r="M157" s="74">
        <v>55.230000000000004</v>
      </c>
      <c r="N157" s="74">
        <v>94.57</v>
      </c>
      <c r="O157" s="74">
        <v>66.19</v>
      </c>
      <c r="P157" s="74">
        <v>62.27</v>
      </c>
      <c r="Q157" s="155">
        <v>4638.7049999999999</v>
      </c>
    </row>
    <row r="158" spans="1:17" x14ac:dyDescent="0.25">
      <c r="A158">
        <v>2014</v>
      </c>
      <c r="B158" s="6">
        <v>20</v>
      </c>
      <c r="C158" s="5" t="str">
        <f t="shared" si="1"/>
        <v>20_2014</v>
      </c>
      <c r="D158" s="74">
        <f>0.8045*100</f>
        <v>80.45</v>
      </c>
      <c r="E158" s="74">
        <v>77.070000000000007</v>
      </c>
      <c r="F158" s="155">
        <v>6078</v>
      </c>
      <c r="G158" s="74">
        <v>46.98</v>
      </c>
      <c r="H158" s="74">
        <v>73.540000000000006</v>
      </c>
      <c r="I158" s="74">
        <v>78.210000000000008</v>
      </c>
      <c r="J158" s="155">
        <v>6605.5</v>
      </c>
      <c r="K158" s="74">
        <v>44.5</v>
      </c>
      <c r="L158" s="74">
        <v>76.47</v>
      </c>
      <c r="M158" s="74">
        <v>75.5</v>
      </c>
      <c r="N158" s="74">
        <v>93.58</v>
      </c>
      <c r="O158" s="74">
        <v>62.68</v>
      </c>
      <c r="P158" s="74">
        <v>61.23</v>
      </c>
      <c r="Q158" s="155">
        <v>4762</v>
      </c>
    </row>
    <row r="159" spans="1:17" x14ac:dyDescent="0.25">
      <c r="A159">
        <v>2015</v>
      </c>
      <c r="B159" s="6">
        <v>20</v>
      </c>
      <c r="C159" s="5" t="str">
        <f t="shared" si="1"/>
        <v>20_2015</v>
      </c>
      <c r="D159" s="74">
        <f>0.8591*100</f>
        <v>85.91</v>
      </c>
      <c r="E159" s="74">
        <v>79.650000000000006</v>
      </c>
      <c r="F159" s="155">
        <v>7519</v>
      </c>
      <c r="G159" s="74">
        <v>73.83</v>
      </c>
      <c r="H159" s="74">
        <v>78.290000000000006</v>
      </c>
      <c r="I159" s="74">
        <v>72.81</v>
      </c>
      <c r="J159" s="155">
        <v>6446</v>
      </c>
      <c r="K159" s="74">
        <v>67.42</v>
      </c>
      <c r="L159" s="74">
        <v>81.73</v>
      </c>
      <c r="M159" s="74">
        <v>73.33</v>
      </c>
      <c r="N159" s="74">
        <v>97.09</v>
      </c>
      <c r="O159" s="74">
        <v>66.739999999999995</v>
      </c>
      <c r="P159" s="74">
        <v>63.31</v>
      </c>
      <c r="Q159" s="155">
        <v>4490</v>
      </c>
    </row>
    <row r="160" spans="1:17" x14ac:dyDescent="0.25">
      <c r="A160">
        <v>2016</v>
      </c>
      <c r="B160" s="6">
        <v>20</v>
      </c>
      <c r="C160" s="5" t="str">
        <f t="shared" si="1"/>
        <v>20_2016</v>
      </c>
      <c r="D160" s="74">
        <f>0.897338403041825*100</f>
        <v>89.733840304182493</v>
      </c>
      <c r="E160" s="74">
        <v>86.013986013986013</v>
      </c>
      <c r="F160" s="155">
        <v>8202</v>
      </c>
      <c r="G160" s="74">
        <v>0</v>
      </c>
      <c r="H160" s="74">
        <v>73.033707865168537</v>
      </c>
      <c r="I160" s="74">
        <v>76.576576576576571</v>
      </c>
      <c r="J160" s="155">
        <v>7299</v>
      </c>
      <c r="K160" s="74">
        <v>0</v>
      </c>
      <c r="L160" s="74">
        <v>83.22147651006712</v>
      </c>
      <c r="M160" s="74">
        <v>75.892857142857139</v>
      </c>
      <c r="N160" s="74">
        <v>0</v>
      </c>
      <c r="O160" s="74">
        <v>64.810024252223116</v>
      </c>
      <c r="P160" s="74">
        <v>60.809216461933516</v>
      </c>
      <c r="Q160" s="155">
        <v>5755</v>
      </c>
    </row>
    <row r="161" spans="1:17" x14ac:dyDescent="0.25">
      <c r="A161">
        <v>2017</v>
      </c>
      <c r="B161" s="6">
        <v>20</v>
      </c>
      <c r="C161" s="5" t="str">
        <f t="shared" si="1"/>
        <v>20_2017</v>
      </c>
      <c r="D161" s="136">
        <v>92</v>
      </c>
      <c r="E161" s="136">
        <v>84.8</v>
      </c>
      <c r="F161" s="136">
        <v>7886</v>
      </c>
      <c r="G161" s="136">
        <v>81.599999999999994</v>
      </c>
      <c r="H161" s="136">
        <v>88.9</v>
      </c>
      <c r="I161" s="136">
        <v>93</v>
      </c>
      <c r="J161" s="136">
        <v>7262</v>
      </c>
      <c r="K161" s="136">
        <v>86.7</v>
      </c>
      <c r="L161" s="136">
        <v>78.2</v>
      </c>
      <c r="M161" s="136">
        <v>76.8</v>
      </c>
      <c r="N161" s="136">
        <v>96.4</v>
      </c>
      <c r="O161" s="136">
        <v>67</v>
      </c>
      <c r="P161" s="136">
        <v>65.8</v>
      </c>
      <c r="Q161" s="136">
        <v>5129</v>
      </c>
    </row>
    <row r="162" spans="1:17" x14ac:dyDescent="0.25">
      <c r="A162" s="14">
        <v>20181</v>
      </c>
      <c r="B162" s="6">
        <v>20</v>
      </c>
      <c r="C162" s="5" t="str">
        <f t="shared" si="1"/>
        <v>20_20181</v>
      </c>
      <c r="D162" s="74">
        <v>92.51</v>
      </c>
      <c r="E162" s="74">
        <v>88.39</v>
      </c>
      <c r="F162" s="157">
        <v>9161</v>
      </c>
      <c r="G162" s="158">
        <v>79.012</v>
      </c>
      <c r="H162" s="159">
        <v>86.538000000000011</v>
      </c>
      <c r="I162" s="159">
        <v>92.727000000000004</v>
      </c>
      <c r="J162" s="157">
        <v>8016</v>
      </c>
      <c r="K162" s="158">
        <v>81.25</v>
      </c>
      <c r="L162" s="159">
        <v>84.677000000000007</v>
      </c>
      <c r="M162" s="159">
        <v>80.247</v>
      </c>
      <c r="N162" s="159">
        <v>93.826999999999998</v>
      </c>
      <c r="O162" s="159">
        <v>66.566000000000003</v>
      </c>
      <c r="P162" s="159">
        <v>65.753</v>
      </c>
      <c r="Q162" s="157">
        <v>5113</v>
      </c>
    </row>
    <row r="163" spans="1:17" x14ac:dyDescent="0.25">
      <c r="A163">
        <v>2011</v>
      </c>
      <c r="B163" s="6">
        <v>21</v>
      </c>
      <c r="C163" s="5" t="str">
        <f t="shared" si="1"/>
        <v>21_2011</v>
      </c>
      <c r="D163" s="74">
        <f>0.8436*100</f>
        <v>84.36</v>
      </c>
      <c r="E163" s="74">
        <v>88.2</v>
      </c>
      <c r="F163" s="155">
        <v>12059</v>
      </c>
      <c r="G163" s="74">
        <v>93.100000000000009</v>
      </c>
      <c r="H163" s="74">
        <v>68.899999999999991</v>
      </c>
      <c r="I163" s="74">
        <v>82.91</v>
      </c>
      <c r="J163" s="155">
        <v>9195</v>
      </c>
      <c r="K163" s="74">
        <v>87.68</v>
      </c>
      <c r="L163" s="74">
        <v>58.69</v>
      </c>
      <c r="M163" s="74">
        <v>60.650000000000006</v>
      </c>
      <c r="N163" s="74">
        <v>77.37</v>
      </c>
      <c r="O163" s="74">
        <v>0</v>
      </c>
      <c r="P163" s="74">
        <v>0</v>
      </c>
      <c r="Q163" s="156">
        <v>0</v>
      </c>
    </row>
    <row r="164" spans="1:17" x14ac:dyDescent="0.25">
      <c r="A164">
        <v>2012</v>
      </c>
      <c r="B164" s="6">
        <v>21</v>
      </c>
      <c r="C164" s="5" t="str">
        <f t="shared" si="1"/>
        <v>21_2012</v>
      </c>
      <c r="D164" s="74">
        <f>0.8994*100</f>
        <v>89.94</v>
      </c>
      <c r="E164" s="74">
        <v>81.22</v>
      </c>
      <c r="F164" s="155">
        <v>10421</v>
      </c>
      <c r="G164" s="74">
        <v>91.81</v>
      </c>
      <c r="H164" s="74">
        <v>76</v>
      </c>
      <c r="I164" s="74">
        <v>59.45</v>
      </c>
      <c r="J164" s="155">
        <v>8036</v>
      </c>
      <c r="K164" s="74">
        <v>84.13000000000001</v>
      </c>
      <c r="L164" s="74">
        <v>74.400000000000006</v>
      </c>
      <c r="M164" s="74">
        <v>61.050000000000004</v>
      </c>
      <c r="N164" s="74">
        <v>86.29</v>
      </c>
      <c r="O164" s="74">
        <v>56.230000000000004</v>
      </c>
      <c r="P164" s="74">
        <v>54.379999999999995</v>
      </c>
      <c r="Q164" s="155">
        <v>4285</v>
      </c>
    </row>
    <row r="165" spans="1:17" x14ac:dyDescent="0.25">
      <c r="A165">
        <v>2013</v>
      </c>
      <c r="B165" s="6">
        <v>21</v>
      </c>
      <c r="C165" s="5" t="str">
        <f t="shared" si="1"/>
        <v>21_2013</v>
      </c>
      <c r="D165" s="74">
        <f>0.6915*100</f>
        <v>69.150000000000006</v>
      </c>
      <c r="E165" s="74">
        <v>82.55</v>
      </c>
      <c r="F165" s="155">
        <v>8244</v>
      </c>
      <c r="G165" s="74">
        <v>89</v>
      </c>
      <c r="H165" s="74">
        <v>84.55</v>
      </c>
      <c r="I165" s="74">
        <v>78.05</v>
      </c>
      <c r="J165" s="155">
        <v>8868</v>
      </c>
      <c r="K165" s="74">
        <v>77.86999999999999</v>
      </c>
      <c r="L165" s="74">
        <v>66.739999999999995</v>
      </c>
      <c r="M165" s="74">
        <v>70.69</v>
      </c>
      <c r="N165" s="74">
        <v>67.53</v>
      </c>
      <c r="O165" s="74">
        <v>56.26</v>
      </c>
      <c r="P165" s="74">
        <v>55.610000000000007</v>
      </c>
      <c r="Q165" s="155">
        <v>4603</v>
      </c>
    </row>
    <row r="166" spans="1:17" x14ac:dyDescent="0.25">
      <c r="A166">
        <v>2014</v>
      </c>
      <c r="B166" s="6">
        <v>21</v>
      </c>
      <c r="C166" s="5" t="str">
        <f t="shared" si="1"/>
        <v>21_2014</v>
      </c>
      <c r="D166" s="74">
        <f>0.8456*100</f>
        <v>84.56</v>
      </c>
      <c r="E166" s="74">
        <v>70.41</v>
      </c>
      <c r="F166" s="155">
        <v>10686</v>
      </c>
      <c r="G166" s="74">
        <v>87.9</v>
      </c>
      <c r="H166" s="74">
        <v>84.08</v>
      </c>
      <c r="I166" s="74">
        <v>79.3</v>
      </c>
      <c r="J166" s="155">
        <v>8234</v>
      </c>
      <c r="K166" s="74">
        <v>73.38</v>
      </c>
      <c r="L166" s="74">
        <v>72.960000000000008</v>
      </c>
      <c r="M166" s="74">
        <v>74.339999999999989</v>
      </c>
      <c r="N166" s="74">
        <v>52.569999999999993</v>
      </c>
      <c r="O166" s="74">
        <v>62.260000000000005</v>
      </c>
      <c r="P166" s="74">
        <v>60.819999999999993</v>
      </c>
      <c r="Q166" s="155">
        <v>4845.5</v>
      </c>
    </row>
    <row r="167" spans="1:17" x14ac:dyDescent="0.25">
      <c r="A167">
        <v>2015</v>
      </c>
      <c r="B167" s="6">
        <v>21</v>
      </c>
      <c r="C167" s="5" t="str">
        <f t="shared" si="1"/>
        <v>21_2015</v>
      </c>
      <c r="D167" s="74">
        <f>0.7966*100</f>
        <v>79.66</v>
      </c>
      <c r="E167" s="74">
        <v>78.010000000000005</v>
      </c>
      <c r="F167" s="155">
        <v>10083</v>
      </c>
      <c r="G167" s="74">
        <v>87.62</v>
      </c>
      <c r="H167" s="74">
        <v>75.89</v>
      </c>
      <c r="I167" s="74">
        <v>82.07</v>
      </c>
      <c r="J167" s="155">
        <v>6825</v>
      </c>
      <c r="K167" s="74">
        <v>71.430000000000007</v>
      </c>
      <c r="L167" s="74">
        <v>71.92</v>
      </c>
      <c r="M167" s="74">
        <v>71.75</v>
      </c>
      <c r="N167" s="74">
        <v>73.25</v>
      </c>
      <c r="O167" s="74">
        <v>66.97999999999999</v>
      </c>
      <c r="P167" s="74">
        <v>65.169999999999987</v>
      </c>
      <c r="Q167" s="155">
        <v>5100</v>
      </c>
    </row>
    <row r="168" spans="1:17" x14ac:dyDescent="0.25">
      <c r="A168">
        <v>2016</v>
      </c>
      <c r="B168" s="6">
        <v>21</v>
      </c>
      <c r="C168" s="5" t="str">
        <f t="shared" si="1"/>
        <v>21_2016</v>
      </c>
      <c r="D168" s="74">
        <f>0.761290322580645*100</f>
        <v>76.129032258064498</v>
      </c>
      <c r="E168" s="74">
        <v>77.694610778443121</v>
      </c>
      <c r="F168" s="155">
        <v>9659</v>
      </c>
      <c r="G168" s="74">
        <v>0</v>
      </c>
      <c r="H168" s="74">
        <v>74.285714285714292</v>
      </c>
      <c r="I168" s="74">
        <v>67.938931297709928</v>
      </c>
      <c r="J168" s="155">
        <v>10146</v>
      </c>
      <c r="K168" s="74">
        <v>0</v>
      </c>
      <c r="L168" s="74">
        <v>67.487684729064028</v>
      </c>
      <c r="M168" s="74">
        <v>69.117647058823522</v>
      </c>
      <c r="N168" s="74">
        <v>0</v>
      </c>
      <c r="O168" s="74">
        <v>64.350315174030882</v>
      </c>
      <c r="P168" s="74">
        <v>62.822645228854803</v>
      </c>
      <c r="Q168" s="155">
        <v>6596</v>
      </c>
    </row>
    <row r="169" spans="1:17" x14ac:dyDescent="0.25">
      <c r="A169">
        <v>2017</v>
      </c>
      <c r="B169" s="6">
        <v>21</v>
      </c>
      <c r="C169" s="5" t="str">
        <f t="shared" si="1"/>
        <v>21_2017</v>
      </c>
      <c r="D169" s="136">
        <v>91.4</v>
      </c>
      <c r="E169" s="136">
        <v>83.3</v>
      </c>
      <c r="F169" s="136">
        <v>10384</v>
      </c>
      <c r="G169" s="136">
        <v>95.1</v>
      </c>
      <c r="H169" s="136">
        <v>90.2</v>
      </c>
      <c r="I169" s="136">
        <v>94.7</v>
      </c>
      <c r="J169" s="136">
        <v>10057</v>
      </c>
      <c r="K169" s="136">
        <v>92.3</v>
      </c>
      <c r="L169" s="136">
        <v>65.400000000000006</v>
      </c>
      <c r="M169" s="136">
        <v>64.900000000000006</v>
      </c>
      <c r="N169" s="136">
        <v>76</v>
      </c>
      <c r="O169" s="136">
        <v>67.3</v>
      </c>
      <c r="P169" s="136">
        <v>65.900000000000006</v>
      </c>
      <c r="Q169" s="136">
        <v>5493</v>
      </c>
    </row>
    <row r="170" spans="1:17" x14ac:dyDescent="0.25">
      <c r="A170" s="14">
        <v>20181</v>
      </c>
      <c r="B170" s="6">
        <v>21</v>
      </c>
      <c r="C170" s="5" t="str">
        <f t="shared" si="1"/>
        <v>21_20181</v>
      </c>
      <c r="D170" s="74">
        <v>92.47</v>
      </c>
      <c r="E170" s="74">
        <v>86.55</v>
      </c>
      <c r="F170" s="157">
        <v>10327</v>
      </c>
      <c r="G170" s="158">
        <v>93.75</v>
      </c>
      <c r="H170" s="159">
        <v>90</v>
      </c>
      <c r="I170" s="159">
        <v>93.548000000000002</v>
      </c>
      <c r="J170" s="157">
        <v>10041</v>
      </c>
      <c r="K170" s="158">
        <v>88</v>
      </c>
      <c r="L170" s="159">
        <v>65.671999999999997</v>
      </c>
      <c r="M170" s="159">
        <v>66.963999999999999</v>
      </c>
      <c r="N170" s="159">
        <v>84.146000000000001</v>
      </c>
      <c r="O170" s="159">
        <v>66.99199999999999</v>
      </c>
      <c r="P170" s="159">
        <v>65.915999999999997</v>
      </c>
      <c r="Q170" s="157">
        <v>5602</v>
      </c>
    </row>
    <row r="171" spans="1:17" x14ac:dyDescent="0.25">
      <c r="A171">
        <v>2011</v>
      </c>
      <c r="B171" s="6">
        <v>22</v>
      </c>
      <c r="C171" s="5" t="str">
        <f t="shared" si="1"/>
        <v>22_2011</v>
      </c>
      <c r="D171" s="74">
        <f>0.7743*100</f>
        <v>77.429999999999993</v>
      </c>
      <c r="E171" s="74">
        <v>79.53</v>
      </c>
      <c r="F171" s="155">
        <v>6956</v>
      </c>
      <c r="G171" s="74">
        <v>83.42</v>
      </c>
      <c r="H171" s="74">
        <v>89.39</v>
      </c>
      <c r="I171" s="74">
        <v>87.539999999999992</v>
      </c>
      <c r="J171" s="155">
        <v>8648</v>
      </c>
      <c r="K171" s="74">
        <v>83</v>
      </c>
      <c r="L171" s="74">
        <v>73.570000000000007</v>
      </c>
      <c r="M171" s="74">
        <v>72.36</v>
      </c>
      <c r="N171" s="74">
        <v>69.679999999999993</v>
      </c>
      <c r="O171" s="74">
        <v>0</v>
      </c>
      <c r="P171" s="74">
        <v>0</v>
      </c>
      <c r="Q171" s="156">
        <v>0</v>
      </c>
    </row>
    <row r="172" spans="1:17" x14ac:dyDescent="0.25">
      <c r="A172">
        <v>2012</v>
      </c>
      <c r="B172" s="6">
        <v>22</v>
      </c>
      <c r="C172" s="5" t="str">
        <f t="shared" si="1"/>
        <v>22_2012</v>
      </c>
      <c r="D172" s="74">
        <f>0.8475*100</f>
        <v>84.75</v>
      </c>
      <c r="E172" s="74">
        <v>72.45</v>
      </c>
      <c r="F172" s="155">
        <v>5908</v>
      </c>
      <c r="G172" s="74">
        <v>82.210000000000008</v>
      </c>
      <c r="H172" s="74">
        <v>88.52</v>
      </c>
      <c r="I172" s="74">
        <v>84.72</v>
      </c>
      <c r="J172" s="155">
        <v>7663</v>
      </c>
      <c r="K172" s="74">
        <v>86.99</v>
      </c>
      <c r="L172" s="74">
        <v>91.85</v>
      </c>
      <c r="M172" s="74">
        <v>74.180000000000007</v>
      </c>
      <c r="N172" s="74">
        <v>42.28</v>
      </c>
      <c r="O172" s="74">
        <v>51.17</v>
      </c>
      <c r="P172" s="74">
        <v>50.5</v>
      </c>
      <c r="Q172" s="155">
        <v>4783</v>
      </c>
    </row>
    <row r="173" spans="1:17" x14ac:dyDescent="0.25">
      <c r="A173">
        <v>2013</v>
      </c>
      <c r="B173" s="6">
        <v>22</v>
      </c>
      <c r="C173" s="5" t="str">
        <f t="shared" si="1"/>
        <v>22_2013</v>
      </c>
      <c r="D173" s="74">
        <f>0.8521*100</f>
        <v>85.21</v>
      </c>
      <c r="E173" s="74">
        <v>83.23</v>
      </c>
      <c r="F173" s="155">
        <v>6000</v>
      </c>
      <c r="G173" s="74">
        <v>75.27000000000001</v>
      </c>
      <c r="H173" s="74">
        <v>89.22</v>
      </c>
      <c r="I173" s="74">
        <v>87.539999999999992</v>
      </c>
      <c r="J173" s="155">
        <v>7353</v>
      </c>
      <c r="K173" s="74">
        <v>81.11</v>
      </c>
      <c r="L173" s="74">
        <v>76.849999999999994</v>
      </c>
      <c r="M173" s="74">
        <v>75</v>
      </c>
      <c r="N173" s="74">
        <v>55.15</v>
      </c>
      <c r="O173" s="74">
        <v>62.239999999999995</v>
      </c>
      <c r="P173" s="74">
        <v>58.84</v>
      </c>
      <c r="Q173" s="155">
        <v>5120</v>
      </c>
    </row>
    <row r="174" spans="1:17" x14ac:dyDescent="0.25">
      <c r="A174">
        <v>2014</v>
      </c>
      <c r="B174" s="6">
        <v>22</v>
      </c>
      <c r="C174" s="5" t="str">
        <f t="shared" si="1"/>
        <v>22_2014</v>
      </c>
      <c r="D174" s="74">
        <f>0.8769*100</f>
        <v>87.69</v>
      </c>
      <c r="E174" s="74">
        <v>82.35</v>
      </c>
      <c r="F174" s="155">
        <v>6036.5</v>
      </c>
      <c r="G174" s="74">
        <v>70.7</v>
      </c>
      <c r="H174" s="74">
        <v>90.039999999999992</v>
      </c>
      <c r="I174" s="74">
        <v>83.41</v>
      </c>
      <c r="J174" s="155">
        <v>7354</v>
      </c>
      <c r="K174" s="74">
        <v>75.12</v>
      </c>
      <c r="L174" s="74">
        <v>69.599999999999994</v>
      </c>
      <c r="M174" s="74">
        <v>64.209999999999994</v>
      </c>
      <c r="N174" s="74">
        <v>51.790000000000006</v>
      </c>
      <c r="O174" s="74">
        <v>75.33</v>
      </c>
      <c r="P174" s="74">
        <v>70.22</v>
      </c>
      <c r="Q174" s="155">
        <v>5629</v>
      </c>
    </row>
    <row r="175" spans="1:17" x14ac:dyDescent="0.25">
      <c r="A175">
        <v>2015</v>
      </c>
      <c r="B175" s="6">
        <v>22</v>
      </c>
      <c r="C175" s="5" t="str">
        <f t="shared" si="1"/>
        <v>22_2015</v>
      </c>
      <c r="D175" s="74">
        <f>0.8745*100</f>
        <v>87.45</v>
      </c>
      <c r="E175" s="74">
        <v>83.77</v>
      </c>
      <c r="F175" s="155">
        <v>6859</v>
      </c>
      <c r="G175" s="74">
        <v>66.320000000000007</v>
      </c>
      <c r="H175" s="74">
        <v>88.31</v>
      </c>
      <c r="I175" s="74">
        <v>85.99</v>
      </c>
      <c r="J175" s="155">
        <v>8100</v>
      </c>
      <c r="K175" s="74">
        <v>73.8</v>
      </c>
      <c r="L175" s="74">
        <v>92.92</v>
      </c>
      <c r="M175" s="74">
        <v>70.199999999999989</v>
      </c>
      <c r="N175" s="74">
        <v>92.63</v>
      </c>
      <c r="O175" s="74">
        <v>75.7</v>
      </c>
      <c r="P175" s="74">
        <v>73.77</v>
      </c>
      <c r="Q175" s="155">
        <v>5836</v>
      </c>
    </row>
    <row r="176" spans="1:17" x14ac:dyDescent="0.25">
      <c r="A176">
        <v>2016</v>
      </c>
      <c r="B176" s="6">
        <v>22</v>
      </c>
      <c r="C176" s="5" t="str">
        <f t="shared" si="1"/>
        <v>22_2016</v>
      </c>
      <c r="D176" s="74">
        <f>0.870036101083033*100</f>
        <v>87.003610108303292</v>
      </c>
      <c r="E176" s="74">
        <v>84.090909090909093</v>
      </c>
      <c r="F176" s="155">
        <v>7955</v>
      </c>
      <c r="G176" s="74">
        <v>0</v>
      </c>
      <c r="H176" s="74">
        <v>86.185567010309285</v>
      </c>
      <c r="I176" s="74">
        <v>85.046728971962608</v>
      </c>
      <c r="J176" s="155">
        <v>10146</v>
      </c>
      <c r="K176" s="74">
        <v>0</v>
      </c>
      <c r="L176" s="74">
        <v>91.116751269035532</v>
      </c>
      <c r="M176" s="74">
        <v>87.771739130434781</v>
      </c>
      <c r="N176" s="74">
        <v>0</v>
      </c>
      <c r="O176" s="74">
        <v>57.222232147642615</v>
      </c>
      <c r="P176" s="74">
        <v>70.958892892237145</v>
      </c>
      <c r="Q176" s="155">
        <v>6966</v>
      </c>
    </row>
    <row r="177" spans="1:17" x14ac:dyDescent="0.25">
      <c r="A177">
        <v>2017</v>
      </c>
      <c r="B177" s="6">
        <v>22</v>
      </c>
      <c r="C177" s="5" t="str">
        <f t="shared" si="1"/>
        <v>22_2017</v>
      </c>
      <c r="D177" s="136">
        <v>91.3</v>
      </c>
      <c r="E177" s="136">
        <v>87.6</v>
      </c>
      <c r="F177" s="136">
        <v>8960</v>
      </c>
      <c r="G177" s="136">
        <v>73</v>
      </c>
      <c r="H177" s="136">
        <v>91.3</v>
      </c>
      <c r="I177" s="136">
        <v>90.5</v>
      </c>
      <c r="J177" s="136">
        <v>9499</v>
      </c>
      <c r="K177" s="136">
        <v>66.7</v>
      </c>
      <c r="L177" s="136">
        <v>92.9</v>
      </c>
      <c r="M177" s="136">
        <v>93.7</v>
      </c>
      <c r="N177" s="136">
        <v>85.7</v>
      </c>
      <c r="O177" s="136">
        <v>66.5</v>
      </c>
      <c r="P177" s="136">
        <v>67.7</v>
      </c>
      <c r="Q177" s="136">
        <v>5379</v>
      </c>
    </row>
    <row r="178" spans="1:17" x14ac:dyDescent="0.25">
      <c r="A178" s="14">
        <v>20181</v>
      </c>
      <c r="B178" s="6">
        <v>22</v>
      </c>
      <c r="C178" s="5" t="str">
        <f t="shared" si="1"/>
        <v>22_20181</v>
      </c>
      <c r="D178" s="74">
        <v>92.67</v>
      </c>
      <c r="E178" s="74">
        <v>87.39</v>
      </c>
      <c r="F178" s="157">
        <v>8991</v>
      </c>
      <c r="G178" s="158">
        <v>71.028000000000006</v>
      </c>
      <c r="H178" s="159">
        <v>92.338999999999999</v>
      </c>
      <c r="I178" s="159">
        <v>90.908999999999992</v>
      </c>
      <c r="J178" s="157">
        <v>9831</v>
      </c>
      <c r="K178" s="158">
        <v>66.393000000000001</v>
      </c>
      <c r="L178" s="159">
        <v>95.442000000000007</v>
      </c>
      <c r="M178" s="159">
        <v>93.197000000000003</v>
      </c>
      <c r="N178" s="159">
        <v>84.524000000000001</v>
      </c>
      <c r="O178" s="159">
        <v>66.522999999999996</v>
      </c>
      <c r="P178" s="159">
        <v>67.463999999999999</v>
      </c>
      <c r="Q178" s="157">
        <v>5411</v>
      </c>
    </row>
    <row r="179" spans="1:17" x14ac:dyDescent="0.25">
      <c r="A179">
        <v>2011</v>
      </c>
      <c r="B179" s="6">
        <v>23</v>
      </c>
      <c r="C179" s="5" t="str">
        <f t="shared" si="1"/>
        <v>23_2011</v>
      </c>
      <c r="D179" s="74">
        <f>0.8376*100</f>
        <v>83.76</v>
      </c>
      <c r="E179" s="74">
        <v>74.97</v>
      </c>
      <c r="F179" s="155">
        <v>5720</v>
      </c>
      <c r="G179" s="74">
        <v>87.98</v>
      </c>
      <c r="H179" s="74">
        <v>86.509999999999991</v>
      </c>
      <c r="I179" s="74">
        <v>79.930000000000007</v>
      </c>
      <c r="J179" s="155">
        <v>7110.98</v>
      </c>
      <c r="K179" s="74">
        <v>89.85</v>
      </c>
      <c r="L179" s="74">
        <v>57.620000000000005</v>
      </c>
      <c r="M179" s="74">
        <v>58.14</v>
      </c>
      <c r="N179" s="74">
        <v>73.05</v>
      </c>
      <c r="O179" s="74">
        <v>0</v>
      </c>
      <c r="P179" s="74">
        <v>0</v>
      </c>
      <c r="Q179" s="156">
        <v>0</v>
      </c>
    </row>
    <row r="180" spans="1:17" x14ac:dyDescent="0.25">
      <c r="A180">
        <v>2012</v>
      </c>
      <c r="B180" s="6">
        <v>23</v>
      </c>
      <c r="C180" s="5" t="str">
        <f t="shared" si="1"/>
        <v>23_2012</v>
      </c>
      <c r="D180" s="74">
        <f>0.8002*100</f>
        <v>80.02</v>
      </c>
      <c r="E180" s="74">
        <v>76.39</v>
      </c>
      <c r="F180" s="155">
        <v>5689.5</v>
      </c>
      <c r="G180" s="74">
        <v>87.74</v>
      </c>
      <c r="H180" s="74">
        <v>87.85</v>
      </c>
      <c r="I180" s="74">
        <v>83.03</v>
      </c>
      <c r="J180" s="155">
        <v>6967</v>
      </c>
      <c r="K180" s="74">
        <v>84.03</v>
      </c>
      <c r="L180" s="74">
        <v>65.47</v>
      </c>
      <c r="M180" s="74">
        <v>64.69</v>
      </c>
      <c r="N180" s="74">
        <v>54.22</v>
      </c>
      <c r="O180" s="74">
        <v>54.690000000000005</v>
      </c>
      <c r="P180" s="74">
        <v>51.6</v>
      </c>
      <c r="Q180" s="155">
        <v>4356</v>
      </c>
    </row>
    <row r="181" spans="1:17" x14ac:dyDescent="0.25">
      <c r="A181">
        <v>2013</v>
      </c>
      <c r="B181" s="6">
        <v>23</v>
      </c>
      <c r="C181" s="5" t="str">
        <f t="shared" si="1"/>
        <v>23_2013</v>
      </c>
      <c r="D181" s="74">
        <f>0.7506*100</f>
        <v>75.06</v>
      </c>
      <c r="E181" s="74">
        <v>71.25</v>
      </c>
      <c r="F181" s="155">
        <v>4849</v>
      </c>
      <c r="G181" s="74">
        <v>77.58</v>
      </c>
      <c r="H181" s="74">
        <v>80.679999999999993</v>
      </c>
      <c r="I181" s="74">
        <v>80.259999999999991</v>
      </c>
      <c r="J181" s="155">
        <v>6839</v>
      </c>
      <c r="K181" s="74">
        <v>76.070000000000007</v>
      </c>
      <c r="L181" s="74">
        <v>72.430000000000007</v>
      </c>
      <c r="M181" s="74">
        <v>65.649999999999991</v>
      </c>
      <c r="N181" s="74">
        <v>74.429999999999993</v>
      </c>
      <c r="O181" s="74">
        <v>53.44</v>
      </c>
      <c r="P181" s="74">
        <v>52.480000000000004</v>
      </c>
      <c r="Q181" s="155">
        <v>4440</v>
      </c>
    </row>
    <row r="182" spans="1:17" x14ac:dyDescent="0.25">
      <c r="A182">
        <v>2014</v>
      </c>
      <c r="B182" s="6">
        <v>23</v>
      </c>
      <c r="C182" s="5" t="str">
        <f t="shared" si="1"/>
        <v>23_2014</v>
      </c>
      <c r="D182" s="74">
        <f>0.7128*100</f>
        <v>71.28</v>
      </c>
      <c r="E182" s="74">
        <v>67.53</v>
      </c>
      <c r="F182" s="155">
        <v>5731</v>
      </c>
      <c r="G182" s="74">
        <v>68.589999999999989</v>
      </c>
      <c r="H182" s="74">
        <v>72.22</v>
      </c>
      <c r="I182" s="74">
        <v>73.61999999999999</v>
      </c>
      <c r="J182" s="155">
        <v>7001</v>
      </c>
      <c r="K182" s="74">
        <v>70.73</v>
      </c>
      <c r="L182" s="74">
        <v>67.800000000000011</v>
      </c>
      <c r="M182" s="74">
        <v>74.48</v>
      </c>
      <c r="N182" s="74">
        <v>62.99</v>
      </c>
      <c r="O182" s="74">
        <v>61.77</v>
      </c>
      <c r="P182" s="74">
        <v>58.9</v>
      </c>
      <c r="Q182" s="155">
        <v>4642</v>
      </c>
    </row>
    <row r="183" spans="1:17" x14ac:dyDescent="0.25">
      <c r="A183">
        <v>2015</v>
      </c>
      <c r="B183" s="6">
        <v>23</v>
      </c>
      <c r="C183" s="5" t="str">
        <f t="shared" si="1"/>
        <v>23_2015</v>
      </c>
      <c r="D183" s="74">
        <f>0.7228*100</f>
        <v>72.28</v>
      </c>
      <c r="E183" s="74">
        <v>67.78</v>
      </c>
      <c r="F183" s="155">
        <v>5412.5</v>
      </c>
      <c r="G183" s="74">
        <v>69.58</v>
      </c>
      <c r="H183" s="74">
        <v>68.64</v>
      </c>
      <c r="I183" s="74">
        <v>68.19</v>
      </c>
      <c r="J183" s="155">
        <v>7375</v>
      </c>
      <c r="K183" s="74">
        <v>71.02000000000001</v>
      </c>
      <c r="L183" s="74">
        <v>68.97999999999999</v>
      </c>
      <c r="M183" s="74">
        <v>72.55</v>
      </c>
      <c r="N183" s="74">
        <v>50.1</v>
      </c>
      <c r="O183" s="74">
        <v>68.589999999999989</v>
      </c>
      <c r="P183" s="74">
        <v>66.63</v>
      </c>
      <c r="Q183" s="155">
        <v>4889</v>
      </c>
    </row>
    <row r="184" spans="1:17" x14ac:dyDescent="0.25">
      <c r="A184">
        <v>2016</v>
      </c>
      <c r="B184" s="6">
        <v>23</v>
      </c>
      <c r="C184" s="5" t="str">
        <f t="shared" si="1"/>
        <v>23_2016</v>
      </c>
      <c r="D184" s="74">
        <f>0.702142363510712*100</f>
        <v>70.214236351071207</v>
      </c>
      <c r="E184" s="74">
        <v>68.580060422960713</v>
      </c>
      <c r="F184" s="155">
        <v>5719</v>
      </c>
      <c r="G184" s="74">
        <v>0</v>
      </c>
      <c r="H184" s="74">
        <v>62.579013906447535</v>
      </c>
      <c r="I184" s="74">
        <v>62.550881953867034</v>
      </c>
      <c r="J184" s="155">
        <v>8221</v>
      </c>
      <c r="K184" s="74">
        <v>0</v>
      </c>
      <c r="L184" s="74">
        <v>73.791621911922661</v>
      </c>
      <c r="M184" s="74">
        <v>71.495766698024454</v>
      </c>
      <c r="N184" s="74">
        <v>0</v>
      </c>
      <c r="O184" s="74">
        <v>65.039715719063537</v>
      </c>
      <c r="P184" s="74">
        <v>64.472469197688838</v>
      </c>
      <c r="Q184" s="155">
        <v>6199</v>
      </c>
    </row>
    <row r="185" spans="1:17" x14ac:dyDescent="0.25">
      <c r="A185">
        <v>2017</v>
      </c>
      <c r="B185" s="6">
        <v>23</v>
      </c>
      <c r="C185" s="5" t="str">
        <f t="shared" si="1"/>
        <v>23_2017</v>
      </c>
      <c r="D185" s="136">
        <v>77.099999999999994</v>
      </c>
      <c r="E185" s="136">
        <v>73.8</v>
      </c>
      <c r="F185" s="136">
        <v>4753</v>
      </c>
      <c r="G185" s="136">
        <v>72.099999999999994</v>
      </c>
      <c r="H185" s="136">
        <v>83.7</v>
      </c>
      <c r="I185" s="136">
        <v>75.8</v>
      </c>
      <c r="J185" s="136">
        <v>7692</v>
      </c>
      <c r="K185" s="136">
        <v>81.400000000000006</v>
      </c>
      <c r="L185" s="136">
        <v>88.2</v>
      </c>
      <c r="M185" s="136">
        <v>92.4</v>
      </c>
      <c r="N185" s="136">
        <v>91.5</v>
      </c>
      <c r="O185" s="136">
        <v>60.6</v>
      </c>
      <c r="P185" s="136">
        <v>63.7</v>
      </c>
      <c r="Q185" s="136">
        <v>5284</v>
      </c>
    </row>
    <row r="186" spans="1:17" x14ac:dyDescent="0.25">
      <c r="A186" s="14">
        <v>20181</v>
      </c>
      <c r="B186" s="6">
        <v>23</v>
      </c>
      <c r="C186" s="5" t="str">
        <f t="shared" si="1"/>
        <v>23_20181</v>
      </c>
      <c r="D186" s="74">
        <v>75.09</v>
      </c>
      <c r="E186" s="74">
        <v>73.849999999999994</v>
      </c>
      <c r="F186" s="157">
        <v>4758</v>
      </c>
      <c r="G186" s="158">
        <v>74.795000000000002</v>
      </c>
      <c r="H186" s="159">
        <v>82.334000000000003</v>
      </c>
      <c r="I186" s="159">
        <v>77.971000000000004</v>
      </c>
      <c r="J186" s="157">
        <v>7760</v>
      </c>
      <c r="K186" s="158">
        <v>80.596999999999994</v>
      </c>
      <c r="L186" s="159">
        <v>89.146999999999991</v>
      </c>
      <c r="M186" s="159">
        <v>88.756999999999991</v>
      </c>
      <c r="N186" s="159">
        <v>83.974000000000004</v>
      </c>
      <c r="O186" s="159">
        <v>58.829000000000001</v>
      </c>
      <c r="P186" s="159">
        <v>63.515999999999991</v>
      </c>
      <c r="Q186" s="157">
        <v>5284</v>
      </c>
    </row>
    <row r="187" spans="1:17" x14ac:dyDescent="0.25">
      <c r="A187">
        <v>2011</v>
      </c>
      <c r="B187" s="6">
        <v>24</v>
      </c>
      <c r="C187" s="5" t="str">
        <f t="shared" si="1"/>
        <v>24_2011</v>
      </c>
      <c r="D187" s="74">
        <f>0.7744*100</f>
        <v>77.44</v>
      </c>
      <c r="E187" s="74">
        <v>79.78</v>
      </c>
      <c r="F187" s="155">
        <v>8318.5</v>
      </c>
      <c r="G187" s="74">
        <v>64.680000000000007</v>
      </c>
      <c r="H187" s="74">
        <v>73.209999999999994</v>
      </c>
      <c r="I187" s="74">
        <v>72.789999999999992</v>
      </c>
      <c r="J187" s="155">
        <v>6542</v>
      </c>
      <c r="K187" s="74">
        <v>53.36</v>
      </c>
      <c r="L187" s="74">
        <v>57.75</v>
      </c>
      <c r="M187" s="74">
        <v>51.11</v>
      </c>
      <c r="N187" s="74">
        <v>88.73</v>
      </c>
      <c r="O187" s="74">
        <v>0</v>
      </c>
      <c r="P187" s="74">
        <v>0</v>
      </c>
      <c r="Q187" s="156">
        <v>0</v>
      </c>
    </row>
    <row r="188" spans="1:17" x14ac:dyDescent="0.25">
      <c r="A188">
        <v>2012</v>
      </c>
      <c r="B188" s="6">
        <v>24</v>
      </c>
      <c r="C188" s="5" t="str">
        <f t="shared" si="1"/>
        <v>24_2012</v>
      </c>
      <c r="D188" s="74">
        <f>0.8117*100</f>
        <v>81.17</v>
      </c>
      <c r="E188" s="74">
        <v>67.069999999999993</v>
      </c>
      <c r="F188" s="155">
        <v>6609.5</v>
      </c>
      <c r="G188" s="74">
        <v>76.94</v>
      </c>
      <c r="H188" s="74">
        <v>81.14</v>
      </c>
      <c r="I188" s="74">
        <v>67.16</v>
      </c>
      <c r="J188" s="155">
        <v>6792</v>
      </c>
      <c r="K188" s="74">
        <v>80.16</v>
      </c>
      <c r="L188" s="74">
        <v>74.510000000000005</v>
      </c>
      <c r="M188" s="74">
        <v>61.240000000000009</v>
      </c>
      <c r="N188" s="74">
        <v>87.25</v>
      </c>
      <c r="O188" s="74">
        <v>62.45</v>
      </c>
      <c r="P188" s="74">
        <v>52.62</v>
      </c>
      <c r="Q188" s="155">
        <v>4456</v>
      </c>
    </row>
    <row r="189" spans="1:17" x14ac:dyDescent="0.25">
      <c r="A189">
        <v>2013</v>
      </c>
      <c r="B189" s="6">
        <v>24</v>
      </c>
      <c r="C189" s="5" t="str">
        <f t="shared" si="1"/>
        <v>24_2013</v>
      </c>
      <c r="D189" s="74">
        <f>0.8093*100</f>
        <v>80.930000000000007</v>
      </c>
      <c r="E189" s="74">
        <v>76.13</v>
      </c>
      <c r="F189" s="155">
        <v>6673</v>
      </c>
      <c r="G189" s="74">
        <v>80.03</v>
      </c>
      <c r="H189" s="74">
        <v>78.33</v>
      </c>
      <c r="I189" s="74">
        <v>75.760000000000005</v>
      </c>
      <c r="J189" s="155">
        <v>6128.5</v>
      </c>
      <c r="K189" s="74">
        <v>73.94</v>
      </c>
      <c r="L189" s="74">
        <v>66</v>
      </c>
      <c r="M189" s="74">
        <v>65.41</v>
      </c>
      <c r="N189" s="74">
        <v>93</v>
      </c>
      <c r="O189" s="74">
        <v>60.73</v>
      </c>
      <c r="P189" s="74">
        <v>59.39</v>
      </c>
      <c r="Q189" s="155">
        <v>4528</v>
      </c>
    </row>
    <row r="190" spans="1:17" x14ac:dyDescent="0.25">
      <c r="A190">
        <v>2014</v>
      </c>
      <c r="B190" s="6">
        <v>24</v>
      </c>
      <c r="C190" s="5" t="str">
        <f t="shared" si="1"/>
        <v>24_2014</v>
      </c>
      <c r="D190" s="74">
        <f>0.7651*100</f>
        <v>76.510000000000005</v>
      </c>
      <c r="E190" s="74">
        <v>73.08</v>
      </c>
      <c r="F190" s="155">
        <v>6775</v>
      </c>
      <c r="G190" s="74">
        <v>77.44</v>
      </c>
      <c r="H190" s="74">
        <v>75.949999999999989</v>
      </c>
      <c r="I190" s="74">
        <v>63.71</v>
      </c>
      <c r="J190" s="155">
        <v>7106.5</v>
      </c>
      <c r="K190" s="74">
        <v>72.760000000000005</v>
      </c>
      <c r="L190" s="74">
        <v>69.77</v>
      </c>
      <c r="M190" s="74">
        <v>70.09</v>
      </c>
      <c r="N190" s="74">
        <v>94.39</v>
      </c>
      <c r="O190" s="74">
        <v>67.190000000000012</v>
      </c>
      <c r="P190" s="74">
        <v>63.72</v>
      </c>
      <c r="Q190" s="155">
        <v>4521</v>
      </c>
    </row>
    <row r="191" spans="1:17" x14ac:dyDescent="0.25">
      <c r="A191">
        <v>2015</v>
      </c>
      <c r="B191" s="6">
        <v>24</v>
      </c>
      <c r="C191" s="5" t="str">
        <f t="shared" si="1"/>
        <v>24_2015</v>
      </c>
      <c r="D191" s="74">
        <f>0.903*100</f>
        <v>90.3</v>
      </c>
      <c r="E191" s="74">
        <v>73.290000000000006</v>
      </c>
      <c r="F191" s="155">
        <v>7549</v>
      </c>
      <c r="G191" s="74">
        <v>80</v>
      </c>
      <c r="H191" s="74">
        <v>83.41</v>
      </c>
      <c r="I191" s="74">
        <v>70.45</v>
      </c>
      <c r="J191" s="155">
        <v>7467</v>
      </c>
      <c r="K191" s="74">
        <v>67.759999999999991</v>
      </c>
      <c r="L191" s="74">
        <v>76.149999999999991</v>
      </c>
      <c r="M191" s="74">
        <v>72.760000000000005</v>
      </c>
      <c r="N191" s="74">
        <v>89.66</v>
      </c>
      <c r="O191" s="74">
        <v>70.12</v>
      </c>
      <c r="P191" s="74">
        <v>66.3</v>
      </c>
      <c r="Q191" s="155">
        <v>4853</v>
      </c>
    </row>
    <row r="192" spans="1:17" x14ac:dyDescent="0.25">
      <c r="A192">
        <v>2016</v>
      </c>
      <c r="B192" s="6">
        <v>24</v>
      </c>
      <c r="C192" s="5" t="str">
        <f t="shared" si="1"/>
        <v>24_2016</v>
      </c>
      <c r="D192" s="74">
        <f>0.926174496644295*100</f>
        <v>92.6174496644295</v>
      </c>
      <c r="E192" s="74">
        <v>90.069686411149831</v>
      </c>
      <c r="F192" s="155">
        <v>8363</v>
      </c>
      <c r="G192" s="74">
        <v>0</v>
      </c>
      <c r="H192" s="74">
        <v>89.075630252100851</v>
      </c>
      <c r="I192" s="74">
        <v>87.898089171974519</v>
      </c>
      <c r="J192" s="155">
        <v>8262</v>
      </c>
      <c r="K192" s="74">
        <v>0</v>
      </c>
      <c r="L192" s="74">
        <v>71.826625386996895</v>
      </c>
      <c r="M192" s="74">
        <v>73.699421965317924</v>
      </c>
      <c r="N192" s="74">
        <v>0</v>
      </c>
      <c r="O192" s="74">
        <v>66.380780894617132</v>
      </c>
      <c r="P192" s="74">
        <v>65.001278881405071</v>
      </c>
      <c r="Q192" s="155">
        <v>5674</v>
      </c>
    </row>
    <row r="193" spans="1:17" x14ac:dyDescent="0.25">
      <c r="A193">
        <v>2017</v>
      </c>
      <c r="B193" s="6">
        <v>24</v>
      </c>
      <c r="C193" s="5" t="str">
        <f t="shared" si="1"/>
        <v>24_2017</v>
      </c>
      <c r="D193" s="136">
        <v>93.4</v>
      </c>
      <c r="E193" s="136">
        <v>93.8</v>
      </c>
      <c r="F193" s="136">
        <v>8033</v>
      </c>
      <c r="G193" s="136">
        <v>84.7</v>
      </c>
      <c r="H193" s="136">
        <v>95.5</v>
      </c>
      <c r="I193" s="136">
        <v>97.6</v>
      </c>
      <c r="J193" s="136">
        <v>7935</v>
      </c>
      <c r="K193" s="136">
        <v>90.9</v>
      </c>
      <c r="L193" s="136">
        <v>84.6</v>
      </c>
      <c r="M193" s="136">
        <v>85.3</v>
      </c>
      <c r="N193" s="136">
        <v>97.5</v>
      </c>
      <c r="O193" s="136">
        <v>70.2</v>
      </c>
      <c r="P193" s="136">
        <v>68.400000000000006</v>
      </c>
      <c r="Q193" s="136">
        <v>5007</v>
      </c>
    </row>
    <row r="194" spans="1:17" x14ac:dyDescent="0.25">
      <c r="A194" s="14">
        <v>20181</v>
      </c>
      <c r="B194" s="6">
        <v>24</v>
      </c>
      <c r="C194" s="5" t="str">
        <f>B194&amp;"_"&amp;A194</f>
        <v>24_20181</v>
      </c>
      <c r="D194" s="74">
        <v>93.14</v>
      </c>
      <c r="E194" s="74">
        <v>93.66</v>
      </c>
      <c r="F194" s="157">
        <v>7800</v>
      </c>
      <c r="G194" s="158">
        <v>82.578000000000003</v>
      </c>
      <c r="H194" s="159">
        <v>94.521000000000001</v>
      </c>
      <c r="I194" s="159">
        <v>96.552000000000007</v>
      </c>
      <c r="J194" s="157">
        <v>7935</v>
      </c>
      <c r="K194" s="158">
        <v>84.783000000000001</v>
      </c>
      <c r="L194" s="159">
        <v>82.304999999999993</v>
      </c>
      <c r="M194" s="159">
        <v>80.281999999999996</v>
      </c>
      <c r="N194" s="159">
        <v>84.728999999999999</v>
      </c>
      <c r="O194" s="159">
        <v>69.673000000000002</v>
      </c>
      <c r="P194" s="159">
        <v>68.593000000000004</v>
      </c>
      <c r="Q194" s="157">
        <v>5016</v>
      </c>
    </row>
    <row r="195" spans="1:17" x14ac:dyDescent="0.25">
      <c r="A195">
        <v>2011</v>
      </c>
      <c r="B195">
        <v>25</v>
      </c>
      <c r="C195" s="5" t="str">
        <f>B195&amp;"_"&amp;A195</f>
        <v>25_2011</v>
      </c>
      <c r="D195" s="74">
        <f>83.8</f>
        <v>83.8</v>
      </c>
      <c r="E195" s="74">
        <v>80.2</v>
      </c>
      <c r="F195" s="155">
        <v>8392</v>
      </c>
      <c r="G195" s="74">
        <v>82</v>
      </c>
      <c r="H195" s="74">
        <v>81.100000000000009</v>
      </c>
      <c r="I195" s="74">
        <v>75.099999999999994</v>
      </c>
      <c r="J195" s="155">
        <v>6709</v>
      </c>
      <c r="K195" s="74">
        <v>75.099999999999994</v>
      </c>
      <c r="L195" s="74">
        <v>48.8</v>
      </c>
      <c r="M195" s="74">
        <v>48.199999999999996</v>
      </c>
      <c r="N195" s="74">
        <v>70.399999999999991</v>
      </c>
      <c r="O195" s="74">
        <v>0</v>
      </c>
      <c r="P195" s="74">
        <v>0</v>
      </c>
      <c r="Q195" s="156">
        <v>0</v>
      </c>
    </row>
    <row r="196" spans="1:17" x14ac:dyDescent="0.25">
      <c r="A196">
        <v>2012</v>
      </c>
      <c r="B196">
        <v>25</v>
      </c>
      <c r="C196" s="5" t="str">
        <f t="shared" si="1"/>
        <v>25_2012</v>
      </c>
      <c r="D196" s="74">
        <f>0.837*100</f>
        <v>83.7</v>
      </c>
      <c r="E196" s="74">
        <v>75.8</v>
      </c>
      <c r="F196" s="155">
        <v>7669</v>
      </c>
      <c r="G196" s="74">
        <v>85.5</v>
      </c>
      <c r="H196" s="74">
        <v>83.5</v>
      </c>
      <c r="I196" s="74">
        <v>76.099999999999994</v>
      </c>
      <c r="J196" s="155">
        <v>6585</v>
      </c>
      <c r="K196" s="74">
        <v>76.7</v>
      </c>
      <c r="L196" s="74">
        <v>63.6</v>
      </c>
      <c r="M196" s="74">
        <v>54.900000000000006</v>
      </c>
      <c r="N196" s="74">
        <v>67.7</v>
      </c>
      <c r="O196" s="74">
        <v>57.999999999999993</v>
      </c>
      <c r="P196" s="74">
        <v>53.2</v>
      </c>
      <c r="Q196" s="155">
        <v>4454</v>
      </c>
    </row>
    <row r="197" spans="1:17" x14ac:dyDescent="0.25">
      <c r="A197">
        <v>2013</v>
      </c>
      <c r="B197">
        <v>25</v>
      </c>
      <c r="C197" s="5" t="str">
        <f t="shared" si="1"/>
        <v>25_2013</v>
      </c>
      <c r="D197" s="74">
        <f>0.838*100</f>
        <v>83.8</v>
      </c>
      <c r="E197" s="74">
        <v>78.400000000000006</v>
      </c>
      <c r="F197" s="155">
        <v>7842</v>
      </c>
      <c r="G197" s="74">
        <v>86.4</v>
      </c>
      <c r="H197" s="74">
        <v>80.600000000000009</v>
      </c>
      <c r="I197" s="74">
        <v>75.599999999999994</v>
      </c>
      <c r="J197" s="155">
        <v>6654</v>
      </c>
      <c r="K197" s="74">
        <v>73.400000000000006</v>
      </c>
      <c r="L197" s="74">
        <v>60.6</v>
      </c>
      <c r="M197" s="74">
        <v>58.8</v>
      </c>
      <c r="N197" s="74">
        <v>80.600000000000009</v>
      </c>
      <c r="O197" s="74">
        <v>59.599999999999994</v>
      </c>
      <c r="P197" s="74">
        <v>58.199999999999996</v>
      </c>
      <c r="Q197" s="155">
        <v>4582</v>
      </c>
    </row>
    <row r="198" spans="1:17" x14ac:dyDescent="0.25">
      <c r="A198">
        <v>2014</v>
      </c>
      <c r="B198">
        <v>25</v>
      </c>
      <c r="C198" s="5" t="str">
        <f t="shared" si="1"/>
        <v>25_2014</v>
      </c>
      <c r="D198" s="74">
        <f>0.868*100</f>
        <v>86.8</v>
      </c>
      <c r="E198" s="74">
        <v>81.8</v>
      </c>
      <c r="F198" s="155">
        <v>8272</v>
      </c>
      <c r="G198" s="74">
        <v>82</v>
      </c>
      <c r="H198" s="74">
        <v>81.2</v>
      </c>
      <c r="I198" s="74">
        <v>76.900000000000006</v>
      </c>
      <c r="J198" s="155">
        <v>7006</v>
      </c>
      <c r="K198" s="74">
        <v>63.800000000000004</v>
      </c>
      <c r="L198" s="74">
        <v>70.899999999999991</v>
      </c>
      <c r="M198" s="74">
        <v>69.199999999999989</v>
      </c>
      <c r="N198" s="74">
        <v>72.8</v>
      </c>
      <c r="O198" s="74">
        <v>64.600000000000009</v>
      </c>
      <c r="P198" s="74">
        <v>62.3</v>
      </c>
      <c r="Q198" s="155">
        <v>4752</v>
      </c>
    </row>
    <row r="199" spans="1:17" x14ac:dyDescent="0.25">
      <c r="A199">
        <v>2015</v>
      </c>
      <c r="B199">
        <v>25</v>
      </c>
      <c r="C199" s="5" t="str">
        <f t="shared" si="1"/>
        <v>25_2015</v>
      </c>
      <c r="D199" s="74">
        <f>0.845*100</f>
        <v>84.5</v>
      </c>
      <c r="E199" s="74">
        <v>81.8</v>
      </c>
      <c r="F199" s="155">
        <v>8213</v>
      </c>
      <c r="G199" s="74">
        <v>81.5</v>
      </c>
      <c r="H199" s="74">
        <v>80.300000000000011</v>
      </c>
      <c r="I199" s="74">
        <v>76.400000000000006</v>
      </c>
      <c r="J199" s="155">
        <v>7467</v>
      </c>
      <c r="K199" s="74">
        <v>62.1</v>
      </c>
      <c r="L199" s="74">
        <v>73.599999999999994</v>
      </c>
      <c r="M199" s="74">
        <v>72.2</v>
      </c>
      <c r="N199" s="74">
        <v>72.5</v>
      </c>
      <c r="O199" s="74">
        <v>66.7</v>
      </c>
      <c r="P199" s="74">
        <v>65.100000000000009</v>
      </c>
      <c r="Q199" s="155">
        <v>4985</v>
      </c>
    </row>
    <row r="200" spans="1:17" x14ac:dyDescent="0.25">
      <c r="A200">
        <v>2016</v>
      </c>
      <c r="B200">
        <v>25</v>
      </c>
      <c r="C200" s="5" t="str">
        <f t="shared" si="1"/>
        <v>25_2016</v>
      </c>
      <c r="D200" s="74">
        <f>0.839884317076377*100</f>
        <v>83.988431707637702</v>
      </c>
      <c r="E200" s="74">
        <v>81.28598848368523</v>
      </c>
      <c r="F200" s="155">
        <v>7999</v>
      </c>
      <c r="G200" s="74">
        <v>0</v>
      </c>
      <c r="H200" s="74">
        <v>78.815155955620682</v>
      </c>
      <c r="I200" s="74">
        <v>76.643861649562908</v>
      </c>
      <c r="J200" s="155">
        <v>7635</v>
      </c>
      <c r="K200" s="74">
        <v>0</v>
      </c>
      <c r="L200" s="74">
        <v>70.944951427730345</v>
      </c>
      <c r="M200" s="74">
        <v>72.082277537636003</v>
      </c>
      <c r="N200" s="74">
        <v>0</v>
      </c>
      <c r="O200" s="74">
        <v>63.695651783453101</v>
      </c>
      <c r="P200" s="74">
        <v>62.397309278387581</v>
      </c>
      <c r="Q200" s="155">
        <v>5148</v>
      </c>
    </row>
    <row r="201" spans="1:17" x14ac:dyDescent="0.25">
      <c r="A201">
        <v>2017</v>
      </c>
      <c r="B201">
        <v>25</v>
      </c>
      <c r="C201" s="5" t="str">
        <f t="shared" si="1"/>
        <v>25_2017</v>
      </c>
      <c r="D201" s="74">
        <v>88.4</v>
      </c>
      <c r="E201" s="74">
        <v>84.4</v>
      </c>
      <c r="F201" s="155">
        <v>7605</v>
      </c>
      <c r="G201" s="74">
        <v>85</v>
      </c>
      <c r="H201" s="74">
        <v>88.7</v>
      </c>
      <c r="I201" s="74">
        <v>87.5</v>
      </c>
      <c r="J201" s="74">
        <v>7912</v>
      </c>
      <c r="K201" s="74">
        <v>82.6</v>
      </c>
      <c r="L201" s="74">
        <v>83</v>
      </c>
      <c r="M201" s="74">
        <v>83.1</v>
      </c>
      <c r="N201" s="74">
        <v>87.9</v>
      </c>
      <c r="O201" s="74">
        <v>66.5</v>
      </c>
      <c r="P201" s="74">
        <v>67.2</v>
      </c>
      <c r="Q201" s="155">
        <v>5270</v>
      </c>
    </row>
    <row r="202" spans="1:17" x14ac:dyDescent="0.25">
      <c r="A202">
        <v>20181</v>
      </c>
      <c r="B202">
        <v>25</v>
      </c>
      <c r="C202" s="5" t="str">
        <f t="shared" si="1"/>
        <v>25_20181</v>
      </c>
      <c r="D202" s="74">
        <v>88.73</v>
      </c>
      <c r="E202" s="74">
        <v>84.54</v>
      </c>
      <c r="F202" s="157">
        <v>7800</v>
      </c>
      <c r="G202" s="158">
        <v>84.1</v>
      </c>
      <c r="H202" s="159">
        <v>89.070000000000007</v>
      </c>
      <c r="I202" s="159">
        <v>86.831000000000003</v>
      </c>
      <c r="J202" s="157">
        <v>7968</v>
      </c>
      <c r="K202" s="158">
        <v>83.4</v>
      </c>
      <c r="L202" s="159">
        <v>82.718999999999994</v>
      </c>
      <c r="M202" s="159">
        <v>80.971999999999994</v>
      </c>
      <c r="N202" s="159">
        <v>86.337000000000003</v>
      </c>
      <c r="O202" s="74">
        <v>65.8</v>
      </c>
      <c r="P202" s="74">
        <v>67</v>
      </c>
      <c r="Q202" s="157">
        <v>5294</v>
      </c>
    </row>
    <row r="203" spans="1:17" x14ac:dyDescent="0.25">
      <c r="C203" s="5"/>
    </row>
    <row r="204" spans="1:17" x14ac:dyDescent="0.25">
      <c r="C204" s="5"/>
    </row>
    <row r="207" spans="1:17" x14ac:dyDescent="0.25">
      <c r="D207" t="s">
        <v>262</v>
      </c>
    </row>
    <row r="208" spans="1:17" x14ac:dyDescent="0.25">
      <c r="D208" s="15" t="e">
        <f>VLOOKUP(25&amp;"_"&amp;2011,Data!$C$1:$Q$202,MATCH(metric_sel,Data!$C$1:$Q$1,0),0)</f>
        <v>#N/A</v>
      </c>
    </row>
    <row r="209" spans="4:4" x14ac:dyDescent="0.25">
      <c r="D209" s="15" t="e">
        <f>VLOOKUP(25&amp;"_"&amp;2012,Data!$C$1:$Q$202,MATCH(metric_sel,Data!$C$1:$Q$1,0),0)</f>
        <v>#N/A</v>
      </c>
    </row>
    <row r="210" spans="4:4" x14ac:dyDescent="0.25">
      <c r="D210" s="15" t="e">
        <f>VLOOKUP(25&amp;"_"&amp;2013,Data!$C$1:$Q$202,MATCH(metric_sel,Data!$C$1:$Q$1,0),0)</f>
        <v>#N/A</v>
      </c>
    </row>
    <row r="211" spans="4:4" x14ac:dyDescent="0.25">
      <c r="D211" s="15" t="e">
        <f>VLOOKUP(25&amp;"_"&amp;2014,Data!$C$1:$Q$202,MATCH(metric_sel,Data!$C$1:$Q$1,0),0)</f>
        <v>#N/A</v>
      </c>
    </row>
    <row r="212" spans="4:4" x14ac:dyDescent="0.25">
      <c r="D212" s="15" t="e">
        <f>VLOOKUP(25&amp;"_"&amp;2015,Data!$C$1:$Q$202,MATCH(metric_sel,Data!$C$1:$Q$1,0),0)</f>
        <v>#N/A</v>
      </c>
    </row>
    <row r="213" spans="4:4" x14ac:dyDescent="0.25">
      <c r="D213" s="15" t="e">
        <f>VLOOKUP(25&amp;"_"&amp;2016,Data!$C$1:$Q$202,MATCH(metric_sel,Data!$C$1:$Q$1,0),0)</f>
        <v>#N/A</v>
      </c>
    </row>
    <row r="214" spans="4:4" x14ac:dyDescent="0.25">
      <c r="D214" s="15" t="e">
        <f>VLOOKUP(25&amp;"_"&amp;2017,Data!$C$1:$Q$202,MATCH(metric_sel,Data!$C$1:$Q$1,0),0)</f>
        <v>#N/A</v>
      </c>
    </row>
    <row r="215" spans="4:4" x14ac:dyDescent="0.25">
      <c r="D215" s="15" t="e">
        <f>VLOOKUP(25&amp;"_"&amp;20181,Data!$C$1:$Q$202,MATCH(metric_sel,Data!$C$1:$Q$1,0),0)</f>
        <v>#N/A</v>
      </c>
    </row>
  </sheetData>
  <sheetProtection algorithmName="SHA-512" hashValue="N7HlIFJcTdXC4+quFkDt6hxk41tTeZXnzXxnOitPhNtx0lRxLSkzIvDV11xL9PckfmcCcrN1R5ZH2X8RWyPvYw==" saltValue="JSdW55/FBV9XdqPeSlOvKw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8"/>
  <sheetViews>
    <sheetView workbookViewId="0">
      <pane ySplit="2" topLeftCell="A3" activePane="bottomLeft" state="frozen"/>
      <selection pane="bottomLeft" activeCell="F40" sqref="F40"/>
    </sheetView>
  </sheetViews>
  <sheetFormatPr defaultRowHeight="15" x14ac:dyDescent="0.25"/>
  <cols>
    <col min="4" max="4" width="10.7109375" bestFit="1" customWidth="1"/>
  </cols>
  <sheetData>
    <row r="1" spans="1:17" ht="15.75" thickBot="1" x14ac:dyDescent="0.3">
      <c r="A1" s="20"/>
      <c r="B1" s="210"/>
      <c r="C1" s="210"/>
      <c r="D1" s="210" t="s">
        <v>0</v>
      </c>
      <c r="E1" s="210" t="s">
        <v>1</v>
      </c>
      <c r="F1" s="210" t="s">
        <v>2</v>
      </c>
      <c r="G1" s="210" t="s">
        <v>3</v>
      </c>
      <c r="H1" s="210" t="s">
        <v>4</v>
      </c>
      <c r="I1" s="210" t="s">
        <v>5</v>
      </c>
      <c r="J1" s="210" t="s">
        <v>6</v>
      </c>
      <c r="K1" s="210" t="s">
        <v>7</v>
      </c>
      <c r="L1" s="20" t="s">
        <v>8</v>
      </c>
      <c r="M1" s="210" t="s">
        <v>9</v>
      </c>
      <c r="N1" s="211" t="s">
        <v>10</v>
      </c>
      <c r="O1" s="210" t="s">
        <v>11</v>
      </c>
      <c r="P1" s="210" t="s">
        <v>12</v>
      </c>
      <c r="Q1" s="211" t="s">
        <v>13</v>
      </c>
    </row>
    <row r="2" spans="1:17" ht="90.75" thickBot="1" x14ac:dyDescent="0.3">
      <c r="A2" s="22" t="s">
        <v>14</v>
      </c>
      <c r="B2" s="136" t="s">
        <v>15</v>
      </c>
      <c r="C2" s="136" t="s">
        <v>115</v>
      </c>
      <c r="D2" s="199" t="s">
        <v>16</v>
      </c>
      <c r="E2" s="200" t="s">
        <v>17</v>
      </c>
      <c r="F2" s="201" t="s">
        <v>18</v>
      </c>
      <c r="G2" s="202" t="s">
        <v>19</v>
      </c>
      <c r="H2" s="203" t="s">
        <v>16</v>
      </c>
      <c r="I2" s="204" t="s">
        <v>17</v>
      </c>
      <c r="J2" s="201" t="s">
        <v>18</v>
      </c>
      <c r="K2" s="204" t="s">
        <v>19</v>
      </c>
      <c r="L2" s="205" t="s">
        <v>16</v>
      </c>
      <c r="M2" s="206" t="s">
        <v>17</v>
      </c>
      <c r="N2" s="207" t="s">
        <v>19</v>
      </c>
      <c r="O2" s="208" t="s">
        <v>16</v>
      </c>
      <c r="P2" s="208" t="s">
        <v>17</v>
      </c>
      <c r="Q2" s="209" t="s">
        <v>18</v>
      </c>
    </row>
    <row r="3" spans="1:17" x14ac:dyDescent="0.25">
      <c r="A3" s="20">
        <v>2011</v>
      </c>
      <c r="B3" s="45">
        <v>1</v>
      </c>
      <c r="C3" s="21" t="s">
        <v>116</v>
      </c>
      <c r="D3" s="20">
        <v>288</v>
      </c>
      <c r="E3" s="210">
        <v>293</v>
      </c>
      <c r="F3" s="196">
        <v>229</v>
      </c>
      <c r="G3" s="211">
        <v>210</v>
      </c>
      <c r="H3" s="210">
        <v>190</v>
      </c>
      <c r="I3" s="210">
        <v>158</v>
      </c>
      <c r="J3" s="196">
        <v>153</v>
      </c>
      <c r="K3" s="210">
        <v>157</v>
      </c>
      <c r="L3" s="20">
        <v>89</v>
      </c>
      <c r="M3" s="210">
        <v>86</v>
      </c>
      <c r="N3" s="211">
        <v>83</v>
      </c>
      <c r="O3" s="210">
        <v>29954</v>
      </c>
      <c r="P3" s="210">
        <v>33869</v>
      </c>
      <c r="Q3" s="196">
        <v>17138</v>
      </c>
    </row>
    <row r="4" spans="1:17" x14ac:dyDescent="0.25">
      <c r="A4" s="22">
        <v>2012</v>
      </c>
      <c r="B4" s="214">
        <v>1</v>
      </c>
      <c r="C4" s="87" t="s">
        <v>117</v>
      </c>
      <c r="D4" s="22">
        <v>132</v>
      </c>
      <c r="E4" s="136">
        <v>182</v>
      </c>
      <c r="F4" s="197">
        <v>102</v>
      </c>
      <c r="G4" s="212">
        <v>101</v>
      </c>
      <c r="H4" s="136">
        <v>85</v>
      </c>
      <c r="I4" s="136">
        <v>145</v>
      </c>
      <c r="J4" s="197">
        <v>65</v>
      </c>
      <c r="K4" s="136">
        <v>70</v>
      </c>
      <c r="L4" s="22">
        <v>109</v>
      </c>
      <c r="M4" s="136">
        <v>87</v>
      </c>
      <c r="N4" s="212">
        <v>99</v>
      </c>
      <c r="O4" s="136">
        <v>14335</v>
      </c>
      <c r="P4" s="136">
        <v>12865</v>
      </c>
      <c r="Q4" s="197">
        <v>6939</v>
      </c>
    </row>
    <row r="5" spans="1:17" x14ac:dyDescent="0.25">
      <c r="A5" s="22">
        <v>2013</v>
      </c>
      <c r="B5" s="214">
        <v>1</v>
      </c>
      <c r="C5" s="87" t="s">
        <v>118</v>
      </c>
      <c r="D5" s="22">
        <v>141</v>
      </c>
      <c r="E5" s="136">
        <v>141</v>
      </c>
      <c r="F5" s="197">
        <v>111</v>
      </c>
      <c r="G5" s="212">
        <v>128</v>
      </c>
      <c r="H5" s="136">
        <v>88</v>
      </c>
      <c r="I5" s="136">
        <v>78</v>
      </c>
      <c r="J5" s="197">
        <v>64</v>
      </c>
      <c r="K5" s="136">
        <v>85</v>
      </c>
      <c r="L5" s="22">
        <v>188</v>
      </c>
      <c r="M5" s="136">
        <v>136</v>
      </c>
      <c r="N5" s="212">
        <v>179</v>
      </c>
      <c r="O5" s="136">
        <v>21681</v>
      </c>
      <c r="P5" s="136">
        <v>20044</v>
      </c>
      <c r="Q5" s="197">
        <v>12371</v>
      </c>
    </row>
    <row r="6" spans="1:17" x14ac:dyDescent="0.25">
      <c r="A6" s="22">
        <v>2014</v>
      </c>
      <c r="B6" s="214">
        <v>1</v>
      </c>
      <c r="C6" s="87" t="s">
        <v>119</v>
      </c>
      <c r="D6" s="22">
        <v>198</v>
      </c>
      <c r="E6" s="136">
        <v>164</v>
      </c>
      <c r="F6" s="197">
        <v>164</v>
      </c>
      <c r="G6" s="212">
        <v>215</v>
      </c>
      <c r="H6" s="136">
        <v>58</v>
      </c>
      <c r="I6" s="136">
        <v>67</v>
      </c>
      <c r="J6" s="197">
        <v>41</v>
      </c>
      <c r="K6" s="136">
        <v>57</v>
      </c>
      <c r="L6" s="22">
        <v>116</v>
      </c>
      <c r="M6" s="136">
        <v>183</v>
      </c>
      <c r="N6" s="212">
        <v>113</v>
      </c>
      <c r="O6" s="136">
        <v>19757</v>
      </c>
      <c r="P6" s="136">
        <v>21645</v>
      </c>
      <c r="Q6" s="197">
        <v>11791</v>
      </c>
    </row>
    <row r="7" spans="1:17" x14ac:dyDescent="0.25">
      <c r="A7" s="22">
        <v>2015</v>
      </c>
      <c r="B7" s="214">
        <v>1</v>
      </c>
      <c r="C7" s="87" t="s">
        <v>120</v>
      </c>
      <c r="D7" s="22">
        <v>282</v>
      </c>
      <c r="E7" s="136">
        <v>244</v>
      </c>
      <c r="F7" s="197">
        <v>231</v>
      </c>
      <c r="G7" s="212">
        <v>259</v>
      </c>
      <c r="H7" s="136">
        <v>73</v>
      </c>
      <c r="I7" s="136">
        <v>69</v>
      </c>
      <c r="J7" s="197">
        <v>56</v>
      </c>
      <c r="K7" s="136">
        <v>67</v>
      </c>
      <c r="L7" s="22">
        <v>156</v>
      </c>
      <c r="M7" s="136">
        <v>147</v>
      </c>
      <c r="N7" s="212">
        <v>154</v>
      </c>
      <c r="O7" s="136">
        <v>16381</v>
      </c>
      <c r="P7" s="136">
        <v>16711</v>
      </c>
      <c r="Q7" s="197">
        <v>10261</v>
      </c>
    </row>
    <row r="8" spans="1:17" s="14" customFormat="1" x14ac:dyDescent="0.25">
      <c r="A8" s="22">
        <v>2016</v>
      </c>
      <c r="B8" s="214">
        <v>1</v>
      </c>
      <c r="C8" s="87" t="s">
        <v>162</v>
      </c>
      <c r="D8" s="22">
        <v>236</v>
      </c>
      <c r="E8" s="136">
        <v>264</v>
      </c>
      <c r="F8" s="197">
        <v>168</v>
      </c>
      <c r="G8" s="212"/>
      <c r="H8" s="136">
        <v>55</v>
      </c>
      <c r="I8" s="136">
        <v>66</v>
      </c>
      <c r="J8" s="197">
        <v>33</v>
      </c>
      <c r="K8" s="136"/>
      <c r="L8" s="22">
        <v>116</v>
      </c>
      <c r="M8" s="136">
        <v>164</v>
      </c>
      <c r="N8" s="212"/>
      <c r="O8" s="136">
        <v>17033</v>
      </c>
      <c r="P8" s="136">
        <v>17774</v>
      </c>
      <c r="Q8" s="197">
        <v>9959</v>
      </c>
    </row>
    <row r="9" spans="1:17" s="14" customFormat="1" x14ac:dyDescent="0.25">
      <c r="A9" s="22">
        <v>2017</v>
      </c>
      <c r="B9" s="214">
        <v>1</v>
      </c>
      <c r="C9" s="87" t="s">
        <v>186</v>
      </c>
      <c r="D9" s="22">
        <v>138</v>
      </c>
      <c r="E9" s="136">
        <v>88</v>
      </c>
      <c r="F9" s="198" t="s">
        <v>356</v>
      </c>
      <c r="G9" s="212">
        <v>81</v>
      </c>
      <c r="H9" s="136">
        <v>18</v>
      </c>
      <c r="I9" s="136">
        <v>12</v>
      </c>
      <c r="J9" s="198" t="s">
        <v>356</v>
      </c>
      <c r="K9" s="136">
        <v>11</v>
      </c>
      <c r="L9" s="22">
        <v>82</v>
      </c>
      <c r="M9" s="136">
        <v>43</v>
      </c>
      <c r="N9" s="212">
        <v>41</v>
      </c>
      <c r="O9" s="136">
        <v>12437</v>
      </c>
      <c r="P9" s="136">
        <v>7543</v>
      </c>
      <c r="Q9" s="198" t="s">
        <v>356</v>
      </c>
    </row>
    <row r="10" spans="1:17" x14ac:dyDescent="0.25">
      <c r="A10" s="22">
        <v>20181</v>
      </c>
      <c r="B10" s="214">
        <v>1</v>
      </c>
      <c r="C10" s="87" t="str">
        <f>B10&amp;"_"&amp;A10</f>
        <v>1_20181</v>
      </c>
      <c r="D10" s="22">
        <v>128</v>
      </c>
      <c r="E10" s="136">
        <v>117</v>
      </c>
      <c r="F10" s="198" t="s">
        <v>356</v>
      </c>
      <c r="G10" s="212">
        <v>108</v>
      </c>
      <c r="H10" s="136">
        <v>10</v>
      </c>
      <c r="I10" s="136">
        <v>17</v>
      </c>
      <c r="J10" s="198" t="s">
        <v>356</v>
      </c>
      <c r="K10" s="136">
        <v>15</v>
      </c>
      <c r="L10" s="22">
        <v>81</v>
      </c>
      <c r="M10" s="136">
        <v>71</v>
      </c>
      <c r="N10" s="212">
        <v>69</v>
      </c>
      <c r="O10" s="136">
        <v>9829</v>
      </c>
      <c r="P10" s="136">
        <v>10143</v>
      </c>
      <c r="Q10" s="198" t="s">
        <v>356</v>
      </c>
    </row>
    <row r="11" spans="1:17" s="14" customFormat="1" ht="15.75" thickBot="1" x14ac:dyDescent="0.3">
      <c r="A11" s="221" t="s">
        <v>296</v>
      </c>
      <c r="B11" s="215">
        <v>1</v>
      </c>
      <c r="C11" s="216" t="s">
        <v>320</v>
      </c>
      <c r="D11" s="217">
        <f>AVERAGE(D3:D9)</f>
        <v>202.14285714285714</v>
      </c>
      <c r="E11" s="218">
        <f t="shared" ref="E11:P11" si="0">AVERAGE(E3:E9)</f>
        <v>196.57142857142858</v>
      </c>
      <c r="F11" s="219">
        <f t="shared" si="0"/>
        <v>167.5</v>
      </c>
      <c r="G11" s="220">
        <f t="shared" si="0"/>
        <v>165.66666666666666</v>
      </c>
      <c r="H11" s="218">
        <f t="shared" si="0"/>
        <v>81</v>
      </c>
      <c r="I11" s="218">
        <f t="shared" si="0"/>
        <v>85</v>
      </c>
      <c r="J11" s="219">
        <f t="shared" si="0"/>
        <v>68.666666666666671</v>
      </c>
      <c r="K11" s="218">
        <f t="shared" si="0"/>
        <v>74.5</v>
      </c>
      <c r="L11" s="217">
        <f t="shared" si="0"/>
        <v>122.28571428571429</v>
      </c>
      <c r="M11" s="218">
        <f t="shared" si="0"/>
        <v>120.85714285714286</v>
      </c>
      <c r="N11" s="220">
        <f t="shared" si="0"/>
        <v>111.5</v>
      </c>
      <c r="O11" s="218">
        <f t="shared" si="0"/>
        <v>18796.857142857141</v>
      </c>
      <c r="P11" s="218">
        <f t="shared" si="0"/>
        <v>18635.857142857141</v>
      </c>
      <c r="Q11" s="219">
        <f t="shared" ref="Q11" si="1">AVERAGE(Q3:Q9)</f>
        <v>11409.833333333334</v>
      </c>
    </row>
    <row r="12" spans="1:17" x14ac:dyDescent="0.25">
      <c r="A12" s="20">
        <v>2011</v>
      </c>
      <c r="B12" s="45">
        <v>2</v>
      </c>
      <c r="C12" s="21" t="s">
        <v>121</v>
      </c>
      <c r="D12" s="20">
        <v>175</v>
      </c>
      <c r="E12" s="210">
        <v>152</v>
      </c>
      <c r="F12" s="196">
        <v>157</v>
      </c>
      <c r="G12" s="211">
        <v>146</v>
      </c>
      <c r="H12" s="210">
        <v>64</v>
      </c>
      <c r="I12" s="210">
        <v>51</v>
      </c>
      <c r="J12" s="196">
        <v>56</v>
      </c>
      <c r="K12" s="210">
        <v>45</v>
      </c>
      <c r="L12" s="20">
        <v>16</v>
      </c>
      <c r="M12" s="210">
        <v>13</v>
      </c>
      <c r="N12" s="211">
        <v>15</v>
      </c>
      <c r="O12" s="210">
        <v>16355</v>
      </c>
      <c r="P12" s="210">
        <v>17397</v>
      </c>
      <c r="Q12" s="196">
        <v>9474</v>
      </c>
    </row>
    <row r="13" spans="1:17" x14ac:dyDescent="0.25">
      <c r="A13" s="22">
        <v>2012</v>
      </c>
      <c r="B13" s="214">
        <v>2</v>
      </c>
      <c r="C13" s="87" t="s">
        <v>122</v>
      </c>
      <c r="D13" s="22">
        <v>92</v>
      </c>
      <c r="E13" s="136">
        <v>112</v>
      </c>
      <c r="F13" s="197">
        <v>77</v>
      </c>
      <c r="G13" s="212">
        <v>77</v>
      </c>
      <c r="H13" s="136">
        <v>45</v>
      </c>
      <c r="I13" s="136">
        <v>49</v>
      </c>
      <c r="J13" s="197">
        <v>38</v>
      </c>
      <c r="K13" s="136">
        <v>38</v>
      </c>
      <c r="L13" s="22">
        <v>28</v>
      </c>
      <c r="M13" s="136">
        <v>8</v>
      </c>
      <c r="N13" s="212">
        <v>27</v>
      </c>
      <c r="O13" s="136">
        <v>8377</v>
      </c>
      <c r="P13" s="136">
        <v>7918</v>
      </c>
      <c r="Q13" s="197">
        <v>4266</v>
      </c>
    </row>
    <row r="14" spans="1:17" x14ac:dyDescent="0.25">
      <c r="A14" s="22">
        <v>2013</v>
      </c>
      <c r="B14" s="214">
        <v>2</v>
      </c>
      <c r="C14" s="87" t="s">
        <v>123</v>
      </c>
      <c r="D14" s="22">
        <v>117</v>
      </c>
      <c r="E14" s="136">
        <v>82</v>
      </c>
      <c r="F14" s="197">
        <v>105</v>
      </c>
      <c r="G14" s="212">
        <v>122</v>
      </c>
      <c r="H14" s="136">
        <v>35</v>
      </c>
      <c r="I14" s="136">
        <v>36</v>
      </c>
      <c r="J14" s="197">
        <v>27</v>
      </c>
      <c r="K14" s="136">
        <v>43</v>
      </c>
      <c r="L14" s="22">
        <v>63</v>
      </c>
      <c r="M14" s="136">
        <v>48</v>
      </c>
      <c r="N14" s="212">
        <v>58</v>
      </c>
      <c r="O14" s="136">
        <v>9698</v>
      </c>
      <c r="P14" s="136">
        <v>9281</v>
      </c>
      <c r="Q14" s="197">
        <v>5843</v>
      </c>
    </row>
    <row r="15" spans="1:17" x14ac:dyDescent="0.25">
      <c r="A15" s="22">
        <v>2014</v>
      </c>
      <c r="B15" s="214">
        <v>2</v>
      </c>
      <c r="C15" s="87" t="s">
        <v>124</v>
      </c>
      <c r="D15" s="22">
        <v>67</v>
      </c>
      <c r="E15" s="136">
        <v>119</v>
      </c>
      <c r="F15" s="197">
        <v>56</v>
      </c>
      <c r="G15" s="212">
        <v>74</v>
      </c>
      <c r="H15" s="136">
        <v>32</v>
      </c>
      <c r="I15" s="136">
        <v>40</v>
      </c>
      <c r="J15" s="197">
        <v>29</v>
      </c>
      <c r="K15" s="136">
        <v>22</v>
      </c>
      <c r="L15" s="22">
        <v>44</v>
      </c>
      <c r="M15" s="136">
        <v>56</v>
      </c>
      <c r="N15" s="212">
        <v>43</v>
      </c>
      <c r="O15" s="136">
        <v>11388</v>
      </c>
      <c r="P15" s="136">
        <v>12086</v>
      </c>
      <c r="Q15" s="197">
        <v>7009</v>
      </c>
    </row>
    <row r="16" spans="1:17" x14ac:dyDescent="0.25">
      <c r="A16" s="22">
        <v>2015</v>
      </c>
      <c r="B16" s="214">
        <v>2</v>
      </c>
      <c r="C16" s="87" t="s">
        <v>125</v>
      </c>
      <c r="D16" s="22">
        <v>118</v>
      </c>
      <c r="E16" s="136">
        <v>75</v>
      </c>
      <c r="F16" s="197">
        <v>97</v>
      </c>
      <c r="G16" s="212">
        <v>101</v>
      </c>
      <c r="H16" s="136">
        <v>25</v>
      </c>
      <c r="I16" s="136">
        <v>24</v>
      </c>
      <c r="J16" s="197">
        <v>19</v>
      </c>
      <c r="K16" s="136">
        <v>24</v>
      </c>
      <c r="L16" s="22">
        <v>64</v>
      </c>
      <c r="M16" s="136">
        <v>38</v>
      </c>
      <c r="N16" s="212">
        <v>60</v>
      </c>
      <c r="O16" s="136">
        <v>8882</v>
      </c>
      <c r="P16" s="136">
        <v>8401</v>
      </c>
      <c r="Q16" s="197">
        <v>5732</v>
      </c>
    </row>
    <row r="17" spans="1:17" s="14" customFormat="1" x14ac:dyDescent="0.25">
      <c r="A17" s="22">
        <v>2016</v>
      </c>
      <c r="B17" s="214">
        <v>2</v>
      </c>
      <c r="C17" s="87" t="s">
        <v>163</v>
      </c>
      <c r="D17" s="22">
        <v>112</v>
      </c>
      <c r="E17" s="136">
        <v>111</v>
      </c>
      <c r="F17" s="197">
        <v>75</v>
      </c>
      <c r="G17" s="212"/>
      <c r="H17" s="136">
        <v>27</v>
      </c>
      <c r="I17" s="136">
        <v>26</v>
      </c>
      <c r="J17" s="197">
        <v>18</v>
      </c>
      <c r="K17" s="136"/>
      <c r="L17" s="22">
        <v>64</v>
      </c>
      <c r="M17" s="136">
        <v>64</v>
      </c>
      <c r="N17" s="212"/>
      <c r="O17" s="136">
        <v>8899</v>
      </c>
      <c r="P17" s="136">
        <v>8698</v>
      </c>
      <c r="Q17" s="197">
        <v>5389</v>
      </c>
    </row>
    <row r="18" spans="1:17" s="14" customFormat="1" x14ac:dyDescent="0.25">
      <c r="A18" s="22">
        <v>2017</v>
      </c>
      <c r="B18" s="214">
        <v>2</v>
      </c>
      <c r="C18" s="87" t="s">
        <v>187</v>
      </c>
      <c r="D18" s="22">
        <v>81</v>
      </c>
      <c r="E18" s="136">
        <v>30</v>
      </c>
      <c r="F18" s="198" t="s">
        <v>356</v>
      </c>
      <c r="G18" s="212">
        <v>25</v>
      </c>
      <c r="H18" s="136">
        <v>8</v>
      </c>
      <c r="I18" s="136">
        <v>3</v>
      </c>
      <c r="J18" s="198" t="s">
        <v>356</v>
      </c>
      <c r="K18" s="136">
        <v>3</v>
      </c>
      <c r="L18" s="22">
        <v>36</v>
      </c>
      <c r="M18" s="136">
        <v>14</v>
      </c>
      <c r="N18" s="212">
        <v>14</v>
      </c>
      <c r="O18" s="136">
        <v>4097</v>
      </c>
      <c r="P18" s="136">
        <v>2137</v>
      </c>
      <c r="Q18" s="198" t="s">
        <v>356</v>
      </c>
    </row>
    <row r="19" spans="1:17" x14ac:dyDescent="0.25">
      <c r="A19" s="22">
        <v>20181</v>
      </c>
      <c r="B19" s="214">
        <v>2</v>
      </c>
      <c r="C19" s="87" t="str">
        <f>B19&amp;"_"&amp;A19</f>
        <v>2_20181</v>
      </c>
      <c r="D19" s="22">
        <v>96</v>
      </c>
      <c r="E19" s="136">
        <v>94</v>
      </c>
      <c r="F19" s="198" t="s">
        <v>356</v>
      </c>
      <c r="G19" s="212">
        <v>39</v>
      </c>
      <c r="H19" s="136">
        <v>7</v>
      </c>
      <c r="I19" s="136">
        <v>6</v>
      </c>
      <c r="J19" s="198" t="s">
        <v>356</v>
      </c>
      <c r="K19" s="136">
        <v>6</v>
      </c>
      <c r="L19" s="22">
        <v>38</v>
      </c>
      <c r="M19" s="136">
        <v>24</v>
      </c>
      <c r="N19" s="212">
        <v>24</v>
      </c>
      <c r="O19" s="136">
        <v>3697</v>
      </c>
      <c r="P19" s="136">
        <v>3271</v>
      </c>
      <c r="Q19" s="198" t="s">
        <v>356</v>
      </c>
    </row>
    <row r="20" spans="1:17" s="14" customFormat="1" ht="15.75" thickBot="1" x14ac:dyDescent="0.3">
      <c r="A20" s="221" t="s">
        <v>296</v>
      </c>
      <c r="B20" s="215">
        <v>2</v>
      </c>
      <c r="C20" s="216" t="s">
        <v>319</v>
      </c>
      <c r="D20" s="217">
        <f>AVERAGE(D12:D18)</f>
        <v>108.85714285714286</v>
      </c>
      <c r="E20" s="218">
        <f t="shared" ref="E20:P20" si="2">AVERAGE(E12:E18)</f>
        <v>97.285714285714292</v>
      </c>
      <c r="F20" s="219">
        <f t="shared" si="2"/>
        <v>94.5</v>
      </c>
      <c r="G20" s="220">
        <f t="shared" si="2"/>
        <v>90.833333333333329</v>
      </c>
      <c r="H20" s="218">
        <f t="shared" si="2"/>
        <v>33.714285714285715</v>
      </c>
      <c r="I20" s="218">
        <f t="shared" si="2"/>
        <v>32.714285714285715</v>
      </c>
      <c r="J20" s="219">
        <f t="shared" si="2"/>
        <v>31.166666666666668</v>
      </c>
      <c r="K20" s="218">
        <f t="shared" si="2"/>
        <v>29.166666666666668</v>
      </c>
      <c r="L20" s="217">
        <f t="shared" si="2"/>
        <v>45</v>
      </c>
      <c r="M20" s="218">
        <f t="shared" si="2"/>
        <v>34.428571428571431</v>
      </c>
      <c r="N20" s="220">
        <f t="shared" si="2"/>
        <v>36.166666666666664</v>
      </c>
      <c r="O20" s="218">
        <f t="shared" si="2"/>
        <v>9670.8571428571431</v>
      </c>
      <c r="P20" s="218">
        <f t="shared" si="2"/>
        <v>9416.8571428571431</v>
      </c>
      <c r="Q20" s="219">
        <f t="shared" ref="Q20" si="3">AVERAGE(Q12:Q18)</f>
        <v>6285.5</v>
      </c>
    </row>
    <row r="21" spans="1:17" x14ac:dyDescent="0.25">
      <c r="A21" s="20">
        <v>2011</v>
      </c>
      <c r="B21" s="45">
        <v>3</v>
      </c>
      <c r="C21" s="21" t="s">
        <v>126</v>
      </c>
      <c r="D21" s="20">
        <v>78</v>
      </c>
      <c r="E21" s="210">
        <v>75</v>
      </c>
      <c r="F21" s="196">
        <v>59</v>
      </c>
      <c r="G21" s="211">
        <v>56</v>
      </c>
      <c r="H21" s="210">
        <v>37</v>
      </c>
      <c r="I21" s="210">
        <v>31</v>
      </c>
      <c r="J21" s="196">
        <v>37</v>
      </c>
      <c r="K21" s="210">
        <v>32</v>
      </c>
      <c r="L21" s="20">
        <v>45</v>
      </c>
      <c r="M21" s="210">
        <v>69</v>
      </c>
      <c r="N21" s="211">
        <v>45</v>
      </c>
      <c r="O21" s="210">
        <v>11099</v>
      </c>
      <c r="P21" s="210">
        <v>11482</v>
      </c>
      <c r="Q21" s="196">
        <v>6201</v>
      </c>
    </row>
    <row r="22" spans="1:17" x14ac:dyDescent="0.25">
      <c r="A22" s="22">
        <v>2012</v>
      </c>
      <c r="B22" s="214">
        <v>3</v>
      </c>
      <c r="C22" s="87" t="s">
        <v>127</v>
      </c>
      <c r="D22" s="22">
        <v>81</v>
      </c>
      <c r="E22" s="136">
        <v>66</v>
      </c>
      <c r="F22" s="197">
        <v>56</v>
      </c>
      <c r="G22" s="212">
        <v>73</v>
      </c>
      <c r="H22" s="136">
        <v>41</v>
      </c>
      <c r="I22" s="136">
        <v>35</v>
      </c>
      <c r="J22" s="197">
        <v>26</v>
      </c>
      <c r="K22" s="136">
        <v>35</v>
      </c>
      <c r="L22" s="22">
        <v>66</v>
      </c>
      <c r="M22" s="136">
        <v>43</v>
      </c>
      <c r="N22" s="212">
        <v>66</v>
      </c>
      <c r="O22" s="136">
        <v>6125</v>
      </c>
      <c r="P22" s="136">
        <v>6522</v>
      </c>
      <c r="Q22" s="197">
        <v>3180</v>
      </c>
    </row>
    <row r="23" spans="1:17" x14ac:dyDescent="0.25">
      <c r="A23" s="22">
        <v>2013</v>
      </c>
      <c r="B23" s="214">
        <v>3</v>
      </c>
      <c r="C23" s="87" t="s">
        <v>128</v>
      </c>
      <c r="D23" s="22">
        <v>55</v>
      </c>
      <c r="E23" s="136">
        <v>79</v>
      </c>
      <c r="F23" s="197">
        <v>43</v>
      </c>
      <c r="G23" s="212">
        <v>50</v>
      </c>
      <c r="H23" s="136">
        <v>11</v>
      </c>
      <c r="I23" s="136">
        <v>27</v>
      </c>
      <c r="J23" s="197">
        <v>11</v>
      </c>
      <c r="K23" s="136">
        <v>9</v>
      </c>
      <c r="L23" s="22">
        <v>44</v>
      </c>
      <c r="M23" s="136">
        <v>66</v>
      </c>
      <c r="N23" s="212">
        <v>43</v>
      </c>
      <c r="O23" s="136">
        <v>7968</v>
      </c>
      <c r="P23" s="136">
        <v>8309</v>
      </c>
      <c r="Q23" s="197">
        <v>4788</v>
      </c>
    </row>
    <row r="24" spans="1:17" x14ac:dyDescent="0.25">
      <c r="A24" s="22">
        <v>2014</v>
      </c>
      <c r="B24" s="214">
        <v>3</v>
      </c>
      <c r="C24" s="87" t="s">
        <v>129</v>
      </c>
      <c r="D24" s="22">
        <v>35</v>
      </c>
      <c r="E24" s="136">
        <v>40</v>
      </c>
      <c r="F24" s="197">
        <v>31</v>
      </c>
      <c r="G24" s="212">
        <v>29</v>
      </c>
      <c r="H24" s="136">
        <v>14</v>
      </c>
      <c r="I24" s="136">
        <v>12</v>
      </c>
      <c r="J24" s="197">
        <v>10</v>
      </c>
      <c r="K24" s="136">
        <v>15</v>
      </c>
      <c r="L24" s="22">
        <v>34</v>
      </c>
      <c r="M24" s="136">
        <v>33</v>
      </c>
      <c r="N24" s="212">
        <v>33</v>
      </c>
      <c r="O24" s="136">
        <v>8200</v>
      </c>
      <c r="P24" s="136">
        <v>7930</v>
      </c>
      <c r="Q24" s="197">
        <v>5028</v>
      </c>
    </row>
    <row r="25" spans="1:17" x14ac:dyDescent="0.25">
      <c r="A25" s="22">
        <v>2015</v>
      </c>
      <c r="B25" s="214">
        <v>3</v>
      </c>
      <c r="C25" s="87" t="s">
        <v>130</v>
      </c>
      <c r="D25" s="22">
        <v>55</v>
      </c>
      <c r="E25" s="136">
        <v>36</v>
      </c>
      <c r="F25" s="197">
        <v>43</v>
      </c>
      <c r="G25" s="212">
        <v>51</v>
      </c>
      <c r="H25" s="136">
        <v>14</v>
      </c>
      <c r="I25" s="136">
        <v>16</v>
      </c>
      <c r="J25" s="197">
        <v>10</v>
      </c>
      <c r="K25" s="136">
        <v>9</v>
      </c>
      <c r="L25" s="22">
        <v>53</v>
      </c>
      <c r="M25" s="136">
        <v>48</v>
      </c>
      <c r="N25" s="212">
        <v>48</v>
      </c>
      <c r="O25" s="136">
        <v>5687</v>
      </c>
      <c r="P25" s="136">
        <v>5955</v>
      </c>
      <c r="Q25" s="197">
        <v>3652</v>
      </c>
    </row>
    <row r="26" spans="1:17" s="14" customFormat="1" x14ac:dyDescent="0.25">
      <c r="A26" s="22">
        <v>2016</v>
      </c>
      <c r="B26" s="214">
        <v>3</v>
      </c>
      <c r="C26" s="87" t="s">
        <v>164</v>
      </c>
      <c r="D26" s="22">
        <v>37</v>
      </c>
      <c r="E26" s="136">
        <v>54</v>
      </c>
      <c r="F26" s="197">
        <v>33</v>
      </c>
      <c r="G26" s="212"/>
      <c r="H26" s="136">
        <v>6</v>
      </c>
      <c r="I26" s="136">
        <v>9</v>
      </c>
      <c r="J26" s="197">
        <v>6</v>
      </c>
      <c r="K26" s="136"/>
      <c r="L26" s="22">
        <v>25</v>
      </c>
      <c r="M26" s="136">
        <v>53</v>
      </c>
      <c r="N26" s="212"/>
      <c r="O26" s="136">
        <v>4632</v>
      </c>
      <c r="P26" s="136">
        <v>5005</v>
      </c>
      <c r="Q26" s="197">
        <v>2008</v>
      </c>
    </row>
    <row r="27" spans="1:17" s="14" customFormat="1" x14ac:dyDescent="0.25">
      <c r="A27" s="22">
        <v>2017</v>
      </c>
      <c r="B27" s="214">
        <v>3</v>
      </c>
      <c r="C27" s="87" t="s">
        <v>188</v>
      </c>
      <c r="D27" s="22">
        <v>55</v>
      </c>
      <c r="E27" s="136">
        <v>19</v>
      </c>
      <c r="F27" s="198" t="s">
        <v>356</v>
      </c>
      <c r="G27" s="212">
        <v>19</v>
      </c>
      <c r="H27" s="136">
        <v>2</v>
      </c>
      <c r="I27" s="136">
        <v>1</v>
      </c>
      <c r="J27" s="198" t="s">
        <v>356</v>
      </c>
      <c r="K27" s="136">
        <v>1</v>
      </c>
      <c r="L27" s="22">
        <v>29</v>
      </c>
      <c r="M27" s="136">
        <v>9</v>
      </c>
      <c r="N27" s="212">
        <v>9</v>
      </c>
      <c r="O27" s="136">
        <v>4293</v>
      </c>
      <c r="P27" s="136">
        <v>2295</v>
      </c>
      <c r="Q27" s="198" t="s">
        <v>356</v>
      </c>
    </row>
    <row r="28" spans="1:17" x14ac:dyDescent="0.25">
      <c r="A28" s="22">
        <v>20181</v>
      </c>
      <c r="B28" s="214">
        <v>3</v>
      </c>
      <c r="C28" s="87" t="str">
        <f>B28&amp;"_"&amp;A28</f>
        <v>3_20181</v>
      </c>
      <c r="D28" s="22">
        <v>69</v>
      </c>
      <c r="E28" s="136">
        <v>36</v>
      </c>
      <c r="F28" s="198" t="s">
        <v>356</v>
      </c>
      <c r="G28" s="212">
        <v>30</v>
      </c>
      <c r="H28" s="136">
        <v>2</v>
      </c>
      <c r="I28" s="136">
        <v>2</v>
      </c>
      <c r="J28" s="198" t="s">
        <v>356</v>
      </c>
      <c r="K28" s="136">
        <v>2</v>
      </c>
      <c r="L28" s="22">
        <v>45</v>
      </c>
      <c r="M28" s="136">
        <v>19</v>
      </c>
      <c r="N28" s="212">
        <v>19</v>
      </c>
      <c r="O28" s="136">
        <v>3930</v>
      </c>
      <c r="P28" s="136">
        <v>3329</v>
      </c>
      <c r="Q28" s="198" t="s">
        <v>356</v>
      </c>
    </row>
    <row r="29" spans="1:17" s="14" customFormat="1" ht="15.75" thickBot="1" x14ac:dyDescent="0.3">
      <c r="A29" s="221" t="s">
        <v>296</v>
      </c>
      <c r="B29" s="215">
        <v>3</v>
      </c>
      <c r="C29" s="216" t="s">
        <v>318</v>
      </c>
      <c r="D29" s="217">
        <f>AVERAGE(D21:D27)</f>
        <v>56.571428571428569</v>
      </c>
      <c r="E29" s="218">
        <f t="shared" ref="E29:P29" si="4">AVERAGE(E21:E27)</f>
        <v>52.714285714285715</v>
      </c>
      <c r="F29" s="219">
        <f t="shared" si="4"/>
        <v>44.166666666666664</v>
      </c>
      <c r="G29" s="220">
        <f t="shared" si="4"/>
        <v>46.333333333333336</v>
      </c>
      <c r="H29" s="218">
        <f t="shared" si="4"/>
        <v>17.857142857142858</v>
      </c>
      <c r="I29" s="218">
        <f t="shared" si="4"/>
        <v>18.714285714285715</v>
      </c>
      <c r="J29" s="219">
        <f t="shared" si="4"/>
        <v>16.666666666666668</v>
      </c>
      <c r="K29" s="218">
        <f t="shared" si="4"/>
        <v>16.833333333333332</v>
      </c>
      <c r="L29" s="217">
        <f t="shared" si="4"/>
        <v>42.285714285714285</v>
      </c>
      <c r="M29" s="218">
        <f t="shared" si="4"/>
        <v>45.857142857142854</v>
      </c>
      <c r="N29" s="220">
        <f t="shared" si="4"/>
        <v>40.666666666666664</v>
      </c>
      <c r="O29" s="218">
        <f t="shared" si="4"/>
        <v>6857.7142857142853</v>
      </c>
      <c r="P29" s="218">
        <f t="shared" si="4"/>
        <v>6785.4285714285716</v>
      </c>
      <c r="Q29" s="219">
        <f t="shared" ref="Q29" si="5">AVERAGE(Q21:Q27)</f>
        <v>4142.833333333333</v>
      </c>
    </row>
    <row r="30" spans="1:17" x14ac:dyDescent="0.25">
      <c r="A30" s="20">
        <v>2011</v>
      </c>
      <c r="B30" s="45">
        <v>4</v>
      </c>
      <c r="C30" s="21" t="s">
        <v>131</v>
      </c>
      <c r="D30" s="20">
        <v>461</v>
      </c>
      <c r="E30" s="210">
        <v>558</v>
      </c>
      <c r="F30" s="196">
        <v>404</v>
      </c>
      <c r="G30" s="211">
        <v>329</v>
      </c>
      <c r="H30" s="210">
        <v>123</v>
      </c>
      <c r="I30" s="210">
        <v>175</v>
      </c>
      <c r="J30" s="196">
        <v>89</v>
      </c>
      <c r="K30" s="210">
        <v>70</v>
      </c>
      <c r="L30" s="20">
        <v>81</v>
      </c>
      <c r="M30" s="210">
        <v>80</v>
      </c>
      <c r="N30" s="211">
        <v>79</v>
      </c>
      <c r="O30" s="210">
        <v>18876</v>
      </c>
      <c r="P30" s="210">
        <v>21888</v>
      </c>
      <c r="Q30" s="196">
        <v>11315</v>
      </c>
    </row>
    <row r="31" spans="1:17" x14ac:dyDescent="0.25">
      <c r="A31" s="22">
        <v>2012</v>
      </c>
      <c r="B31" s="214">
        <v>4</v>
      </c>
      <c r="C31" s="87" t="s">
        <v>132</v>
      </c>
      <c r="D31" s="22">
        <v>420</v>
      </c>
      <c r="E31" s="136">
        <v>479</v>
      </c>
      <c r="F31" s="197">
        <v>341</v>
      </c>
      <c r="G31" s="212">
        <v>209</v>
      </c>
      <c r="H31" s="136">
        <v>153</v>
      </c>
      <c r="I31" s="136">
        <v>114</v>
      </c>
      <c r="J31" s="197">
        <v>111</v>
      </c>
      <c r="K31" s="136">
        <v>112</v>
      </c>
      <c r="L31" s="22">
        <v>31</v>
      </c>
      <c r="M31" s="136">
        <v>55</v>
      </c>
      <c r="N31" s="212">
        <v>30</v>
      </c>
      <c r="O31" s="136">
        <v>13321</v>
      </c>
      <c r="P31" s="136">
        <v>11977</v>
      </c>
      <c r="Q31" s="197">
        <v>7682</v>
      </c>
    </row>
    <row r="32" spans="1:17" x14ac:dyDescent="0.25">
      <c r="A32" s="22">
        <v>2013</v>
      </c>
      <c r="B32" s="214">
        <v>4</v>
      </c>
      <c r="C32" s="87" t="s">
        <v>133</v>
      </c>
      <c r="D32" s="22">
        <v>276</v>
      </c>
      <c r="E32" s="136">
        <v>331</v>
      </c>
      <c r="F32" s="197">
        <v>235</v>
      </c>
      <c r="G32" s="212">
        <v>130</v>
      </c>
      <c r="H32" s="136">
        <v>100</v>
      </c>
      <c r="I32" s="136">
        <v>126</v>
      </c>
      <c r="J32" s="197">
        <v>82</v>
      </c>
      <c r="K32" s="136">
        <v>88</v>
      </c>
      <c r="L32" s="22">
        <v>85</v>
      </c>
      <c r="M32" s="136">
        <v>79</v>
      </c>
      <c r="N32" s="212">
        <v>85</v>
      </c>
      <c r="O32" s="136">
        <v>15954</v>
      </c>
      <c r="P32" s="136">
        <v>15431</v>
      </c>
      <c r="Q32" s="197">
        <v>10410</v>
      </c>
    </row>
    <row r="33" spans="1:17" x14ac:dyDescent="0.25">
      <c r="A33" s="22">
        <v>2014</v>
      </c>
      <c r="B33" s="214">
        <v>4</v>
      </c>
      <c r="C33" s="87" t="s">
        <v>134</v>
      </c>
      <c r="D33" s="22">
        <v>308</v>
      </c>
      <c r="E33" s="136">
        <v>327</v>
      </c>
      <c r="F33" s="197">
        <v>279</v>
      </c>
      <c r="G33" s="212">
        <v>137</v>
      </c>
      <c r="H33" s="136">
        <v>96</v>
      </c>
      <c r="I33" s="136">
        <v>106</v>
      </c>
      <c r="J33" s="197">
        <v>84</v>
      </c>
      <c r="K33" s="136">
        <v>62</v>
      </c>
      <c r="L33" s="22">
        <v>53</v>
      </c>
      <c r="M33" s="136">
        <v>70</v>
      </c>
      <c r="N33" s="212">
        <v>53</v>
      </c>
      <c r="O33" s="136">
        <v>15059</v>
      </c>
      <c r="P33" s="136">
        <v>18370</v>
      </c>
      <c r="Q33" s="197">
        <v>10418</v>
      </c>
    </row>
    <row r="34" spans="1:17" x14ac:dyDescent="0.25">
      <c r="A34" s="22">
        <v>2015</v>
      </c>
      <c r="B34" s="214">
        <v>4</v>
      </c>
      <c r="C34" s="87" t="s">
        <v>135</v>
      </c>
      <c r="D34" s="22">
        <v>318</v>
      </c>
      <c r="E34" s="136">
        <v>287</v>
      </c>
      <c r="F34" s="197">
        <v>281</v>
      </c>
      <c r="G34" s="212">
        <v>134</v>
      </c>
      <c r="H34" s="136">
        <v>55</v>
      </c>
      <c r="I34" s="136">
        <v>61</v>
      </c>
      <c r="J34" s="197">
        <v>49</v>
      </c>
      <c r="K34" s="136">
        <v>50</v>
      </c>
      <c r="L34" s="22">
        <v>197</v>
      </c>
      <c r="M34" s="136">
        <v>32</v>
      </c>
      <c r="N34" s="212">
        <v>196</v>
      </c>
      <c r="O34" s="136">
        <v>15805</v>
      </c>
      <c r="P34" s="136">
        <v>14430</v>
      </c>
      <c r="Q34" s="197">
        <v>10746</v>
      </c>
    </row>
    <row r="35" spans="1:17" s="14" customFormat="1" x14ac:dyDescent="0.25">
      <c r="A35" s="22">
        <v>2016</v>
      </c>
      <c r="B35" s="214">
        <v>4</v>
      </c>
      <c r="C35" s="87" t="s">
        <v>165</v>
      </c>
      <c r="D35" s="22">
        <v>266</v>
      </c>
      <c r="E35" s="136">
        <v>304</v>
      </c>
      <c r="F35" s="197">
        <v>209</v>
      </c>
      <c r="G35" s="212"/>
      <c r="H35" s="136">
        <v>39</v>
      </c>
      <c r="I35" s="136">
        <v>54</v>
      </c>
      <c r="J35" s="197">
        <v>31</v>
      </c>
      <c r="K35" s="136"/>
      <c r="L35" s="22">
        <v>178</v>
      </c>
      <c r="M35" s="136">
        <v>192</v>
      </c>
      <c r="N35" s="212"/>
      <c r="O35" s="136">
        <v>11789</v>
      </c>
      <c r="P35" s="136">
        <v>13678</v>
      </c>
      <c r="Q35" s="197">
        <v>8190</v>
      </c>
    </row>
    <row r="36" spans="1:17" s="14" customFormat="1" x14ac:dyDescent="0.25">
      <c r="A36" s="22">
        <v>2017</v>
      </c>
      <c r="B36" s="214">
        <v>4</v>
      </c>
      <c r="C36" s="87" t="s">
        <v>189</v>
      </c>
      <c r="D36" s="22">
        <v>157</v>
      </c>
      <c r="E36" s="136">
        <v>83</v>
      </c>
      <c r="F36" s="198" t="s">
        <v>356</v>
      </c>
      <c r="G36" s="212">
        <v>37</v>
      </c>
      <c r="H36" s="136">
        <v>11</v>
      </c>
      <c r="I36" s="136">
        <v>6</v>
      </c>
      <c r="J36" s="198" t="s">
        <v>356</v>
      </c>
      <c r="K36" s="136">
        <v>6</v>
      </c>
      <c r="L36" s="22">
        <v>53</v>
      </c>
      <c r="M36" s="136">
        <v>30</v>
      </c>
      <c r="N36" s="212">
        <v>30</v>
      </c>
      <c r="O36" s="136">
        <v>7047</v>
      </c>
      <c r="P36" s="136">
        <v>3826</v>
      </c>
      <c r="Q36" s="198" t="s">
        <v>356</v>
      </c>
    </row>
    <row r="37" spans="1:17" x14ac:dyDescent="0.25">
      <c r="A37" s="22">
        <v>20181</v>
      </c>
      <c r="B37" s="214">
        <v>4</v>
      </c>
      <c r="C37" s="87" t="str">
        <f>B37&amp;"_"&amp;A37</f>
        <v>4_20181</v>
      </c>
      <c r="D37" s="22">
        <v>149</v>
      </c>
      <c r="E37" s="136">
        <v>124</v>
      </c>
      <c r="F37" s="198" t="s">
        <v>356</v>
      </c>
      <c r="G37" s="212">
        <v>48</v>
      </c>
      <c r="H37" s="136">
        <v>11</v>
      </c>
      <c r="I37" s="136">
        <v>8</v>
      </c>
      <c r="J37" s="198" t="s">
        <v>356</v>
      </c>
      <c r="K37" s="136">
        <v>6</v>
      </c>
      <c r="L37" s="22">
        <v>39</v>
      </c>
      <c r="M37" s="136">
        <v>39</v>
      </c>
      <c r="N37" s="212">
        <v>39</v>
      </c>
      <c r="O37" s="136">
        <v>6265</v>
      </c>
      <c r="P37" s="136">
        <v>5617</v>
      </c>
      <c r="Q37" s="198" t="s">
        <v>356</v>
      </c>
    </row>
    <row r="38" spans="1:17" s="14" customFormat="1" ht="15.75" thickBot="1" x14ac:dyDescent="0.3">
      <c r="A38" s="221" t="s">
        <v>296</v>
      </c>
      <c r="B38" s="215">
        <v>4</v>
      </c>
      <c r="C38" s="216" t="s">
        <v>317</v>
      </c>
      <c r="D38" s="217">
        <f>AVERAGE(D30:D36)</f>
        <v>315.14285714285717</v>
      </c>
      <c r="E38" s="218">
        <f t="shared" ref="E38:P38" si="6">AVERAGE(E30:E36)</f>
        <v>338.42857142857144</v>
      </c>
      <c r="F38" s="219">
        <f t="shared" si="6"/>
        <v>291.5</v>
      </c>
      <c r="G38" s="220">
        <f t="shared" si="6"/>
        <v>162.66666666666666</v>
      </c>
      <c r="H38" s="218">
        <f t="shared" si="6"/>
        <v>82.428571428571431</v>
      </c>
      <c r="I38" s="218">
        <f t="shared" si="6"/>
        <v>91.714285714285708</v>
      </c>
      <c r="J38" s="219">
        <f t="shared" si="6"/>
        <v>74.333333333333329</v>
      </c>
      <c r="K38" s="218">
        <f>AVERAGE(K30:K37)</f>
        <v>56.285714285714285</v>
      </c>
      <c r="L38" s="217">
        <f t="shared" si="6"/>
        <v>96.857142857142861</v>
      </c>
      <c r="M38" s="218">
        <f t="shared" si="6"/>
        <v>76.857142857142861</v>
      </c>
      <c r="N38" s="220">
        <f t="shared" si="6"/>
        <v>78.833333333333329</v>
      </c>
      <c r="O38" s="218">
        <f t="shared" si="6"/>
        <v>13978.714285714286</v>
      </c>
      <c r="P38" s="218">
        <f t="shared" si="6"/>
        <v>14228.571428571429</v>
      </c>
      <c r="Q38" s="219">
        <f t="shared" ref="Q38" si="7">AVERAGE(Q30:Q36)</f>
        <v>9793.5</v>
      </c>
    </row>
    <row r="39" spans="1:17" x14ac:dyDescent="0.25">
      <c r="A39" s="20">
        <v>2011</v>
      </c>
      <c r="B39" s="45">
        <v>5</v>
      </c>
      <c r="C39" s="21" t="s">
        <v>136</v>
      </c>
      <c r="D39" s="20">
        <v>124</v>
      </c>
      <c r="E39" s="210">
        <v>177</v>
      </c>
      <c r="F39" s="196">
        <v>98</v>
      </c>
      <c r="G39" s="211">
        <v>71</v>
      </c>
      <c r="H39" s="210">
        <v>134</v>
      </c>
      <c r="I39" s="210">
        <v>112</v>
      </c>
      <c r="J39" s="196">
        <v>121</v>
      </c>
      <c r="K39" s="210">
        <v>12</v>
      </c>
      <c r="L39" s="20">
        <v>89</v>
      </c>
      <c r="M39" s="210">
        <v>117</v>
      </c>
      <c r="N39" s="211">
        <v>85</v>
      </c>
      <c r="O39" s="210">
        <v>19964</v>
      </c>
      <c r="P39" s="210">
        <v>20018</v>
      </c>
      <c r="Q39" s="196">
        <v>12373</v>
      </c>
    </row>
    <row r="40" spans="1:17" x14ac:dyDescent="0.25">
      <c r="A40" s="22">
        <v>2012</v>
      </c>
      <c r="B40" s="214">
        <v>5</v>
      </c>
      <c r="C40" s="87" t="s">
        <v>137</v>
      </c>
      <c r="D40" s="22">
        <v>199</v>
      </c>
      <c r="E40" s="136">
        <v>141</v>
      </c>
      <c r="F40" s="197">
        <v>178</v>
      </c>
      <c r="G40" s="212">
        <v>86</v>
      </c>
      <c r="H40" s="136">
        <v>122</v>
      </c>
      <c r="I40" s="136">
        <v>109</v>
      </c>
      <c r="J40" s="197">
        <v>107</v>
      </c>
      <c r="K40" s="136">
        <v>9</v>
      </c>
      <c r="L40" s="22">
        <v>67</v>
      </c>
      <c r="M40" s="136">
        <v>70</v>
      </c>
      <c r="N40" s="212">
        <v>63</v>
      </c>
      <c r="O40" s="136">
        <v>11525</v>
      </c>
      <c r="P40" s="136">
        <v>11670</v>
      </c>
      <c r="Q40" s="197">
        <v>5940</v>
      </c>
    </row>
    <row r="41" spans="1:17" x14ac:dyDescent="0.25">
      <c r="A41" s="22">
        <v>2013</v>
      </c>
      <c r="B41" s="214">
        <v>5</v>
      </c>
      <c r="C41" s="87" t="s">
        <v>138</v>
      </c>
      <c r="D41" s="22">
        <v>145</v>
      </c>
      <c r="E41" s="136">
        <v>189</v>
      </c>
      <c r="F41" s="197">
        <v>132</v>
      </c>
      <c r="G41" s="212">
        <v>79</v>
      </c>
      <c r="H41" s="136">
        <v>95</v>
      </c>
      <c r="I41" s="136">
        <v>111</v>
      </c>
      <c r="J41" s="197">
        <v>78</v>
      </c>
      <c r="K41" s="136">
        <v>24</v>
      </c>
      <c r="L41" s="22">
        <v>48</v>
      </c>
      <c r="M41" s="136">
        <v>71</v>
      </c>
      <c r="N41" s="212">
        <v>38</v>
      </c>
      <c r="O41" s="136">
        <v>12552</v>
      </c>
      <c r="P41" s="136">
        <v>11336</v>
      </c>
      <c r="Q41" s="197">
        <v>8063</v>
      </c>
    </row>
    <row r="42" spans="1:17" x14ac:dyDescent="0.25">
      <c r="A42" s="22">
        <v>2014</v>
      </c>
      <c r="B42" s="214">
        <v>5</v>
      </c>
      <c r="C42" s="87" t="s">
        <v>139</v>
      </c>
      <c r="D42" s="22">
        <v>208</v>
      </c>
      <c r="E42" s="136">
        <v>154</v>
      </c>
      <c r="F42" s="197">
        <v>174</v>
      </c>
      <c r="G42" s="212">
        <v>190</v>
      </c>
      <c r="H42" s="136">
        <v>150</v>
      </c>
      <c r="I42" s="136">
        <v>111</v>
      </c>
      <c r="J42" s="197">
        <v>116</v>
      </c>
      <c r="K42" s="136">
        <v>43</v>
      </c>
      <c r="L42" s="22">
        <v>204</v>
      </c>
      <c r="M42" s="136">
        <v>76</v>
      </c>
      <c r="N42" s="212">
        <v>152</v>
      </c>
      <c r="O42" s="136">
        <v>12867</v>
      </c>
      <c r="P42" s="136">
        <v>13125</v>
      </c>
      <c r="Q42" s="197">
        <v>8866</v>
      </c>
    </row>
    <row r="43" spans="1:17" x14ac:dyDescent="0.25">
      <c r="A43" s="22">
        <v>2015</v>
      </c>
      <c r="B43" s="214">
        <v>5</v>
      </c>
      <c r="C43" s="87" t="s">
        <v>140</v>
      </c>
      <c r="D43" s="22">
        <v>302</v>
      </c>
      <c r="E43" s="136">
        <v>308</v>
      </c>
      <c r="F43" s="197">
        <v>251</v>
      </c>
      <c r="G43" s="212">
        <v>169</v>
      </c>
      <c r="H43" s="136">
        <v>183</v>
      </c>
      <c r="I43" s="136">
        <v>210</v>
      </c>
      <c r="J43" s="197">
        <v>151</v>
      </c>
      <c r="K43" s="136">
        <v>29</v>
      </c>
      <c r="L43" s="22">
        <v>322</v>
      </c>
      <c r="M43" s="136">
        <v>284</v>
      </c>
      <c r="N43" s="212">
        <v>244</v>
      </c>
      <c r="O43" s="136">
        <v>12694</v>
      </c>
      <c r="P43" s="136">
        <v>13838</v>
      </c>
      <c r="Q43" s="197">
        <v>8685</v>
      </c>
    </row>
    <row r="44" spans="1:17" s="14" customFormat="1" x14ac:dyDescent="0.25">
      <c r="A44" s="22">
        <v>2016</v>
      </c>
      <c r="B44" s="214">
        <v>5</v>
      </c>
      <c r="C44" s="87" t="s">
        <v>166</v>
      </c>
      <c r="D44" s="22">
        <v>383</v>
      </c>
      <c r="E44" s="136">
        <v>274</v>
      </c>
      <c r="F44" s="197">
        <v>136</v>
      </c>
      <c r="G44" s="212"/>
      <c r="H44" s="136">
        <v>228</v>
      </c>
      <c r="I44" s="136">
        <v>142</v>
      </c>
      <c r="J44" s="197">
        <v>65</v>
      </c>
      <c r="K44" s="136"/>
      <c r="L44" s="22">
        <v>459</v>
      </c>
      <c r="M44" s="136">
        <v>321</v>
      </c>
      <c r="N44" s="212"/>
      <c r="O44" s="136">
        <v>11457</v>
      </c>
      <c r="P44" s="136">
        <v>12538</v>
      </c>
      <c r="Q44" s="197">
        <v>7061</v>
      </c>
    </row>
    <row r="45" spans="1:17" s="14" customFormat="1" x14ac:dyDescent="0.25">
      <c r="A45" s="22">
        <v>2017</v>
      </c>
      <c r="B45" s="214">
        <v>5</v>
      </c>
      <c r="C45" s="87" t="s">
        <v>190</v>
      </c>
      <c r="D45" s="22">
        <v>83</v>
      </c>
      <c r="E45" s="136">
        <v>26</v>
      </c>
      <c r="F45" s="198" t="s">
        <v>356</v>
      </c>
      <c r="G45" s="212">
        <v>17</v>
      </c>
      <c r="H45" s="136">
        <v>13</v>
      </c>
      <c r="I45" s="136">
        <v>6</v>
      </c>
      <c r="J45" s="198" t="s">
        <v>356</v>
      </c>
      <c r="K45" s="136">
        <v>1</v>
      </c>
      <c r="L45" s="22">
        <v>35</v>
      </c>
      <c r="M45" s="136">
        <v>14</v>
      </c>
      <c r="N45" s="212">
        <v>11</v>
      </c>
      <c r="O45" s="136">
        <v>7532</v>
      </c>
      <c r="P45" s="136">
        <v>4136</v>
      </c>
      <c r="Q45" s="198" t="s">
        <v>356</v>
      </c>
    </row>
    <row r="46" spans="1:17" x14ac:dyDescent="0.25">
      <c r="A46" s="22">
        <v>20181</v>
      </c>
      <c r="B46" s="214">
        <v>5</v>
      </c>
      <c r="C46" s="87" t="str">
        <f>B46&amp;"_"&amp;A46</f>
        <v>5_20181</v>
      </c>
      <c r="D46" s="22">
        <v>87</v>
      </c>
      <c r="E46" s="136">
        <v>51</v>
      </c>
      <c r="F46" s="198" t="s">
        <v>356</v>
      </c>
      <c r="G46" s="212">
        <v>30</v>
      </c>
      <c r="H46" s="136">
        <v>11</v>
      </c>
      <c r="I46" s="136">
        <v>9</v>
      </c>
      <c r="J46" s="198" t="s">
        <v>356</v>
      </c>
      <c r="K46" s="136">
        <v>1</v>
      </c>
      <c r="L46" s="22">
        <v>34</v>
      </c>
      <c r="M46" s="136">
        <v>22</v>
      </c>
      <c r="N46" s="212">
        <v>18</v>
      </c>
      <c r="O46" s="136">
        <v>6424</v>
      </c>
      <c r="P46" s="136">
        <v>5927</v>
      </c>
      <c r="Q46" s="198" t="s">
        <v>356</v>
      </c>
    </row>
    <row r="47" spans="1:17" s="14" customFormat="1" ht="15.75" thickBot="1" x14ac:dyDescent="0.3">
      <c r="A47" s="221" t="s">
        <v>296</v>
      </c>
      <c r="B47" s="215">
        <v>5</v>
      </c>
      <c r="C47" s="216" t="s">
        <v>316</v>
      </c>
      <c r="D47" s="217">
        <f>AVERAGE(D39:D45)</f>
        <v>206.28571428571428</v>
      </c>
      <c r="E47" s="218">
        <f t="shared" ref="E47:P47" si="8">AVERAGE(E39:E45)</f>
        <v>181.28571428571428</v>
      </c>
      <c r="F47" s="219">
        <f t="shared" si="8"/>
        <v>161.5</v>
      </c>
      <c r="G47" s="220">
        <f t="shared" si="8"/>
        <v>102</v>
      </c>
      <c r="H47" s="218">
        <f t="shared" si="8"/>
        <v>132.14285714285714</v>
      </c>
      <c r="I47" s="218">
        <f t="shared" si="8"/>
        <v>114.42857142857143</v>
      </c>
      <c r="J47" s="219">
        <f t="shared" si="8"/>
        <v>106.33333333333333</v>
      </c>
      <c r="K47" s="218">
        <f>AVERAGE(K39:K46)</f>
        <v>17</v>
      </c>
      <c r="L47" s="217">
        <f t="shared" si="8"/>
        <v>174.85714285714286</v>
      </c>
      <c r="M47" s="218">
        <f t="shared" si="8"/>
        <v>136.14285714285714</v>
      </c>
      <c r="N47" s="220">
        <f t="shared" si="8"/>
        <v>98.833333333333329</v>
      </c>
      <c r="O47" s="218">
        <f t="shared" si="8"/>
        <v>12655.857142857143</v>
      </c>
      <c r="P47" s="218">
        <f t="shared" si="8"/>
        <v>12380.142857142857</v>
      </c>
      <c r="Q47" s="219">
        <f t="shared" ref="Q47" si="9">AVERAGE(Q39:Q45)</f>
        <v>8498</v>
      </c>
    </row>
    <row r="48" spans="1:17" x14ac:dyDescent="0.25">
      <c r="A48" s="20">
        <v>2011</v>
      </c>
      <c r="B48" s="45">
        <v>6</v>
      </c>
      <c r="C48" s="21" t="s">
        <v>141</v>
      </c>
      <c r="D48" s="20">
        <v>111</v>
      </c>
      <c r="E48" s="210">
        <v>68</v>
      </c>
      <c r="F48" s="196">
        <v>89</v>
      </c>
      <c r="G48" s="211">
        <v>68</v>
      </c>
      <c r="H48" s="210">
        <v>18</v>
      </c>
      <c r="I48" s="210">
        <v>14</v>
      </c>
      <c r="J48" s="196">
        <v>16</v>
      </c>
      <c r="K48" s="210">
        <v>20</v>
      </c>
      <c r="L48" s="20">
        <v>77</v>
      </c>
      <c r="M48" s="210">
        <v>19</v>
      </c>
      <c r="N48" s="211">
        <v>77</v>
      </c>
      <c r="O48" s="210">
        <v>11841</v>
      </c>
      <c r="P48" s="210">
        <v>12336</v>
      </c>
      <c r="Q48" s="196">
        <v>6445</v>
      </c>
    </row>
    <row r="49" spans="1:17" x14ac:dyDescent="0.25">
      <c r="A49" s="22">
        <v>2012</v>
      </c>
      <c r="B49" s="214">
        <v>6</v>
      </c>
      <c r="C49" s="87" t="s">
        <v>142</v>
      </c>
      <c r="D49" s="22">
        <v>59</v>
      </c>
      <c r="E49" s="136">
        <v>101</v>
      </c>
      <c r="F49" s="197">
        <v>42</v>
      </c>
      <c r="G49" s="212">
        <v>19</v>
      </c>
      <c r="H49" s="136">
        <v>15</v>
      </c>
      <c r="I49" s="136">
        <v>19</v>
      </c>
      <c r="J49" s="197">
        <v>12</v>
      </c>
      <c r="K49" s="136">
        <v>10</v>
      </c>
      <c r="L49" s="22">
        <v>56</v>
      </c>
      <c r="M49" s="136">
        <v>104</v>
      </c>
      <c r="N49" s="212">
        <v>56</v>
      </c>
      <c r="O49" s="136">
        <v>9526</v>
      </c>
      <c r="P49" s="136">
        <v>9277</v>
      </c>
      <c r="Q49" s="197">
        <v>4508</v>
      </c>
    </row>
    <row r="50" spans="1:17" x14ac:dyDescent="0.25">
      <c r="A50" s="22">
        <v>2013</v>
      </c>
      <c r="B50" s="214">
        <v>6</v>
      </c>
      <c r="C50" s="87" t="s">
        <v>143</v>
      </c>
      <c r="D50" s="22">
        <v>107</v>
      </c>
      <c r="E50" s="136">
        <v>47</v>
      </c>
      <c r="F50" s="197">
        <v>97</v>
      </c>
      <c r="G50" s="212">
        <v>114</v>
      </c>
      <c r="H50" s="136">
        <v>7</v>
      </c>
      <c r="I50" s="136">
        <v>7</v>
      </c>
      <c r="J50" s="197">
        <v>2</v>
      </c>
      <c r="K50" s="136">
        <v>4</v>
      </c>
      <c r="L50" s="22">
        <v>23</v>
      </c>
      <c r="M50" s="136">
        <v>31</v>
      </c>
      <c r="N50" s="212">
        <v>21</v>
      </c>
      <c r="O50" s="136">
        <v>10082</v>
      </c>
      <c r="P50" s="136">
        <v>9991</v>
      </c>
      <c r="Q50" s="197">
        <v>5611</v>
      </c>
    </row>
    <row r="51" spans="1:17" x14ac:dyDescent="0.25">
      <c r="A51" s="22">
        <v>2014</v>
      </c>
      <c r="B51" s="214">
        <v>6</v>
      </c>
      <c r="C51" s="87" t="s">
        <v>144</v>
      </c>
      <c r="D51" s="22">
        <v>71</v>
      </c>
      <c r="E51" s="136">
        <v>110</v>
      </c>
      <c r="F51" s="197">
        <v>63</v>
      </c>
      <c r="G51" s="212">
        <v>84</v>
      </c>
      <c r="H51" s="136">
        <v>9</v>
      </c>
      <c r="I51" s="136">
        <v>8</v>
      </c>
      <c r="J51" s="197">
        <v>7</v>
      </c>
      <c r="K51" s="136">
        <v>7</v>
      </c>
      <c r="L51" s="22">
        <v>37</v>
      </c>
      <c r="M51" s="136">
        <v>29</v>
      </c>
      <c r="N51" s="212">
        <v>35</v>
      </c>
      <c r="O51" s="136">
        <v>9007</v>
      </c>
      <c r="P51" s="136">
        <v>9354</v>
      </c>
      <c r="Q51" s="197">
        <v>5359</v>
      </c>
    </row>
    <row r="52" spans="1:17" x14ac:dyDescent="0.25">
      <c r="A52" s="22">
        <v>2015</v>
      </c>
      <c r="B52" s="214">
        <v>6</v>
      </c>
      <c r="C52" s="87" t="s">
        <v>145</v>
      </c>
      <c r="D52" s="22">
        <v>119</v>
      </c>
      <c r="E52" s="136">
        <v>90</v>
      </c>
      <c r="F52" s="197">
        <v>99</v>
      </c>
      <c r="G52" s="212">
        <v>94</v>
      </c>
      <c r="H52" s="136">
        <v>14</v>
      </c>
      <c r="I52" s="136">
        <v>10</v>
      </c>
      <c r="J52" s="197">
        <v>12</v>
      </c>
      <c r="K52" s="136">
        <v>17</v>
      </c>
      <c r="L52" s="22">
        <v>50</v>
      </c>
      <c r="M52" s="136">
        <v>56</v>
      </c>
      <c r="N52" s="212">
        <v>43</v>
      </c>
      <c r="O52" s="136">
        <v>8332</v>
      </c>
      <c r="P52" s="136">
        <v>8647</v>
      </c>
      <c r="Q52" s="197">
        <v>5264</v>
      </c>
    </row>
    <row r="53" spans="1:17" s="14" customFormat="1" x14ac:dyDescent="0.25">
      <c r="A53" s="22">
        <v>2016</v>
      </c>
      <c r="B53" s="214">
        <v>6</v>
      </c>
      <c r="C53" s="87" t="s">
        <v>167</v>
      </c>
      <c r="D53" s="22">
        <v>82</v>
      </c>
      <c r="E53" s="136">
        <v>97</v>
      </c>
      <c r="F53" s="197">
        <v>30</v>
      </c>
      <c r="G53" s="212"/>
      <c r="H53" s="136">
        <v>16</v>
      </c>
      <c r="I53" s="136">
        <v>19</v>
      </c>
      <c r="J53" s="197">
        <v>3</v>
      </c>
      <c r="K53" s="136"/>
      <c r="L53" s="22">
        <v>32</v>
      </c>
      <c r="M53" s="136">
        <v>50</v>
      </c>
      <c r="N53" s="212"/>
      <c r="O53" s="136">
        <v>6591</v>
      </c>
      <c r="P53" s="136">
        <v>7258</v>
      </c>
      <c r="Q53" s="197">
        <v>3971</v>
      </c>
    </row>
    <row r="54" spans="1:17" s="14" customFormat="1" x14ac:dyDescent="0.25">
      <c r="A54" s="22">
        <v>2017</v>
      </c>
      <c r="B54" s="214">
        <v>6</v>
      </c>
      <c r="C54" s="87" t="s">
        <v>191</v>
      </c>
      <c r="D54" s="22">
        <v>64</v>
      </c>
      <c r="E54" s="136">
        <v>29</v>
      </c>
      <c r="F54" s="198" t="s">
        <v>356</v>
      </c>
      <c r="G54" s="212">
        <v>26</v>
      </c>
      <c r="H54" s="136">
        <v>7</v>
      </c>
      <c r="I54" s="136">
        <v>3</v>
      </c>
      <c r="J54" s="198" t="s">
        <v>356</v>
      </c>
      <c r="K54" s="136">
        <v>3</v>
      </c>
      <c r="L54" s="22">
        <v>37</v>
      </c>
      <c r="M54" s="136">
        <v>28</v>
      </c>
      <c r="N54" s="212">
        <v>25</v>
      </c>
      <c r="O54" s="136">
        <v>5093</v>
      </c>
      <c r="P54" s="136">
        <v>2539</v>
      </c>
      <c r="Q54" s="198" t="s">
        <v>356</v>
      </c>
    </row>
    <row r="55" spans="1:17" x14ac:dyDescent="0.25">
      <c r="A55" s="22">
        <v>20181</v>
      </c>
      <c r="B55" s="214">
        <v>6</v>
      </c>
      <c r="C55" s="87" t="str">
        <f>B55&amp;"_"&amp;A55</f>
        <v>6_20181</v>
      </c>
      <c r="D55" s="22">
        <v>58</v>
      </c>
      <c r="E55" s="136">
        <v>39</v>
      </c>
      <c r="F55" s="198" t="s">
        <v>356</v>
      </c>
      <c r="G55" s="212">
        <v>36</v>
      </c>
      <c r="H55" s="136">
        <v>8</v>
      </c>
      <c r="I55" s="136">
        <v>5</v>
      </c>
      <c r="J55" s="198" t="s">
        <v>356</v>
      </c>
      <c r="K55" s="136">
        <v>4</v>
      </c>
      <c r="L55" s="22">
        <v>38</v>
      </c>
      <c r="M55" s="136">
        <v>35</v>
      </c>
      <c r="N55" s="212">
        <v>32</v>
      </c>
      <c r="O55" s="136">
        <v>4914</v>
      </c>
      <c r="P55" s="136">
        <v>3726</v>
      </c>
      <c r="Q55" s="198" t="s">
        <v>356</v>
      </c>
    </row>
    <row r="56" spans="1:17" s="14" customFormat="1" ht="15.75" thickBot="1" x14ac:dyDescent="0.3">
      <c r="A56" s="221" t="s">
        <v>296</v>
      </c>
      <c r="B56" s="215">
        <v>6</v>
      </c>
      <c r="C56" s="216" t="s">
        <v>315</v>
      </c>
      <c r="D56" s="217">
        <f>AVERAGE(D48:D54)</f>
        <v>87.571428571428569</v>
      </c>
      <c r="E56" s="218">
        <f t="shared" ref="E56:P56" si="10">AVERAGE(E48:E54)</f>
        <v>77.428571428571431</v>
      </c>
      <c r="F56" s="219">
        <f t="shared" si="10"/>
        <v>70</v>
      </c>
      <c r="G56" s="220">
        <f t="shared" si="10"/>
        <v>67.5</v>
      </c>
      <c r="H56" s="218">
        <f t="shared" si="10"/>
        <v>12.285714285714286</v>
      </c>
      <c r="I56" s="218">
        <f t="shared" si="10"/>
        <v>11.428571428571429</v>
      </c>
      <c r="J56" s="219">
        <f t="shared" si="10"/>
        <v>8.6666666666666661</v>
      </c>
      <c r="K56" s="218">
        <f>AVERAGE(K48:K55)</f>
        <v>9.2857142857142865</v>
      </c>
      <c r="L56" s="217">
        <f t="shared" si="10"/>
        <v>44.571428571428569</v>
      </c>
      <c r="M56" s="218">
        <f t="shared" si="10"/>
        <v>45.285714285714285</v>
      </c>
      <c r="N56" s="220">
        <f t="shared" si="10"/>
        <v>42.833333333333336</v>
      </c>
      <c r="O56" s="218">
        <f t="shared" si="10"/>
        <v>8638.8571428571431</v>
      </c>
      <c r="P56" s="218">
        <f t="shared" si="10"/>
        <v>8486</v>
      </c>
      <c r="Q56" s="219">
        <f t="shared" ref="Q56" si="11">AVERAGE(Q48:Q54)</f>
        <v>5193</v>
      </c>
    </row>
    <row r="57" spans="1:17" x14ac:dyDescent="0.25">
      <c r="A57" s="20">
        <v>2011</v>
      </c>
      <c r="B57" s="45">
        <v>7</v>
      </c>
      <c r="C57" s="21" t="s">
        <v>146</v>
      </c>
      <c r="D57" s="20">
        <v>124</v>
      </c>
      <c r="E57" s="210">
        <v>60</v>
      </c>
      <c r="F57" s="196">
        <v>114</v>
      </c>
      <c r="G57" s="211">
        <v>122</v>
      </c>
      <c r="H57" s="210">
        <v>33</v>
      </c>
      <c r="I57" s="210">
        <v>36</v>
      </c>
      <c r="J57" s="196">
        <v>23</v>
      </c>
      <c r="K57" s="210">
        <v>20</v>
      </c>
      <c r="L57" s="20">
        <v>40</v>
      </c>
      <c r="M57" s="210">
        <v>37</v>
      </c>
      <c r="N57" s="211">
        <v>39</v>
      </c>
      <c r="O57" s="210">
        <v>6896</v>
      </c>
      <c r="P57" s="210">
        <v>8579</v>
      </c>
      <c r="Q57" s="196">
        <v>3684</v>
      </c>
    </row>
    <row r="58" spans="1:17" x14ac:dyDescent="0.25">
      <c r="A58" s="22">
        <v>2012</v>
      </c>
      <c r="B58" s="214">
        <v>7</v>
      </c>
      <c r="C58" s="87" t="s">
        <v>147</v>
      </c>
      <c r="D58" s="22">
        <v>54</v>
      </c>
      <c r="E58" s="136">
        <v>115</v>
      </c>
      <c r="F58" s="197">
        <v>51</v>
      </c>
      <c r="G58" s="212">
        <v>46</v>
      </c>
      <c r="H58" s="136">
        <v>20</v>
      </c>
      <c r="I58" s="136">
        <v>23</v>
      </c>
      <c r="J58" s="197">
        <v>19</v>
      </c>
      <c r="K58" s="136">
        <v>18</v>
      </c>
      <c r="L58" s="22">
        <v>33</v>
      </c>
      <c r="M58" s="136">
        <v>46</v>
      </c>
      <c r="N58" s="212">
        <v>32</v>
      </c>
      <c r="O58" s="136">
        <v>11188</v>
      </c>
      <c r="P58" s="136">
        <v>9580</v>
      </c>
      <c r="Q58" s="197">
        <v>5431</v>
      </c>
    </row>
    <row r="59" spans="1:17" x14ac:dyDescent="0.25">
      <c r="A59" s="22">
        <v>2013</v>
      </c>
      <c r="B59" s="214">
        <v>7</v>
      </c>
      <c r="C59" s="87" t="s">
        <v>148</v>
      </c>
      <c r="D59" s="22">
        <v>39</v>
      </c>
      <c r="E59" s="136">
        <v>49</v>
      </c>
      <c r="F59" s="197">
        <v>35</v>
      </c>
      <c r="G59" s="212">
        <v>34</v>
      </c>
      <c r="H59" s="136">
        <v>17</v>
      </c>
      <c r="I59" s="136">
        <v>25</v>
      </c>
      <c r="J59" s="197">
        <v>14</v>
      </c>
      <c r="K59" s="136">
        <v>12</v>
      </c>
      <c r="L59" s="22">
        <v>62</v>
      </c>
      <c r="M59" s="136">
        <v>39</v>
      </c>
      <c r="N59" s="212">
        <v>62</v>
      </c>
      <c r="O59" s="136">
        <v>6079</v>
      </c>
      <c r="P59" s="136">
        <v>6897</v>
      </c>
      <c r="Q59" s="197">
        <v>3332</v>
      </c>
    </row>
    <row r="60" spans="1:17" x14ac:dyDescent="0.25">
      <c r="A60" s="22">
        <v>2014</v>
      </c>
      <c r="B60" s="214">
        <v>7</v>
      </c>
      <c r="C60" s="87" t="s">
        <v>149</v>
      </c>
      <c r="D60" s="22">
        <v>98</v>
      </c>
      <c r="E60" s="136">
        <v>88</v>
      </c>
      <c r="F60" s="197">
        <v>78</v>
      </c>
      <c r="G60" s="212">
        <v>95</v>
      </c>
      <c r="H60" s="136">
        <v>20</v>
      </c>
      <c r="I60" s="136">
        <v>23</v>
      </c>
      <c r="J60" s="197">
        <v>9</v>
      </c>
      <c r="K60" s="136">
        <v>21</v>
      </c>
      <c r="L60" s="22">
        <v>90</v>
      </c>
      <c r="M60" s="136">
        <v>103</v>
      </c>
      <c r="N60" s="212">
        <v>89</v>
      </c>
      <c r="O60" s="136">
        <v>5007</v>
      </c>
      <c r="P60" s="136">
        <v>5519</v>
      </c>
      <c r="Q60" s="197">
        <v>3039</v>
      </c>
    </row>
    <row r="61" spans="1:17" x14ac:dyDescent="0.25">
      <c r="A61" s="22">
        <v>2015</v>
      </c>
      <c r="B61" s="214">
        <v>7</v>
      </c>
      <c r="C61" s="87" t="s">
        <v>150</v>
      </c>
      <c r="D61" s="22">
        <v>49</v>
      </c>
      <c r="E61" s="136">
        <v>52</v>
      </c>
      <c r="F61" s="197">
        <v>48</v>
      </c>
      <c r="G61" s="212">
        <v>42</v>
      </c>
      <c r="H61" s="136">
        <v>8</v>
      </c>
      <c r="I61" s="136">
        <v>7</v>
      </c>
      <c r="J61" s="197">
        <v>7</v>
      </c>
      <c r="K61" s="136">
        <v>4</v>
      </c>
      <c r="L61" s="22">
        <v>28</v>
      </c>
      <c r="M61" s="136">
        <v>35</v>
      </c>
      <c r="N61" s="212">
        <v>28</v>
      </c>
      <c r="O61" s="136">
        <v>5207</v>
      </c>
      <c r="P61" s="136">
        <v>4981</v>
      </c>
      <c r="Q61" s="197">
        <v>3271</v>
      </c>
    </row>
    <row r="62" spans="1:17" s="14" customFormat="1" x14ac:dyDescent="0.25">
      <c r="A62" s="22">
        <v>2016</v>
      </c>
      <c r="B62" s="214">
        <v>7</v>
      </c>
      <c r="C62" s="87" t="s">
        <v>168</v>
      </c>
      <c r="D62" s="22">
        <v>52</v>
      </c>
      <c r="E62" s="136">
        <v>46</v>
      </c>
      <c r="F62" s="197">
        <v>45</v>
      </c>
      <c r="G62" s="212"/>
      <c r="H62" s="136">
        <v>7</v>
      </c>
      <c r="I62" s="136">
        <v>4</v>
      </c>
      <c r="J62" s="197">
        <v>3</v>
      </c>
      <c r="K62" s="136"/>
      <c r="L62" s="22">
        <v>55</v>
      </c>
      <c r="M62" s="136">
        <v>31</v>
      </c>
      <c r="N62" s="212"/>
      <c r="O62" s="136">
        <v>4661</v>
      </c>
      <c r="P62" s="136">
        <v>5157</v>
      </c>
      <c r="Q62" s="197">
        <v>2907</v>
      </c>
    </row>
    <row r="63" spans="1:17" s="14" customFormat="1" x14ac:dyDescent="0.25">
      <c r="A63" s="22">
        <v>2017</v>
      </c>
      <c r="B63" s="214">
        <v>7</v>
      </c>
      <c r="C63" s="87" t="s">
        <v>192</v>
      </c>
      <c r="D63" s="22">
        <v>31</v>
      </c>
      <c r="E63" s="136">
        <v>21</v>
      </c>
      <c r="F63" s="198" t="s">
        <v>356</v>
      </c>
      <c r="G63" s="212">
        <v>20</v>
      </c>
      <c r="H63" s="136">
        <v>1</v>
      </c>
      <c r="I63" s="136">
        <v>0</v>
      </c>
      <c r="J63" s="198" t="s">
        <v>356</v>
      </c>
      <c r="K63" s="136">
        <v>0</v>
      </c>
      <c r="L63" s="22">
        <v>55</v>
      </c>
      <c r="M63" s="136">
        <v>34</v>
      </c>
      <c r="N63" s="212">
        <v>34</v>
      </c>
      <c r="O63" s="136">
        <v>3962</v>
      </c>
      <c r="P63" s="136">
        <v>1906</v>
      </c>
      <c r="Q63" s="198" t="s">
        <v>356</v>
      </c>
    </row>
    <row r="64" spans="1:17" x14ac:dyDescent="0.25">
      <c r="A64" s="22">
        <v>20181</v>
      </c>
      <c r="B64" s="214">
        <v>7</v>
      </c>
      <c r="C64" s="87" t="str">
        <f>B64&amp;"_"&amp;A64</f>
        <v>7_20181</v>
      </c>
      <c r="D64" s="22">
        <v>39</v>
      </c>
      <c r="E64" s="136">
        <v>24</v>
      </c>
      <c r="F64" s="198" t="s">
        <v>356</v>
      </c>
      <c r="G64" s="212">
        <v>23</v>
      </c>
      <c r="H64" s="136">
        <v>1</v>
      </c>
      <c r="I64" s="136">
        <v>0</v>
      </c>
      <c r="J64" s="198" t="s">
        <v>356</v>
      </c>
      <c r="K64" s="136">
        <v>0</v>
      </c>
      <c r="L64" s="22">
        <v>71</v>
      </c>
      <c r="M64" s="136">
        <v>51</v>
      </c>
      <c r="N64" s="212">
        <v>50</v>
      </c>
      <c r="O64" s="136">
        <v>3992</v>
      </c>
      <c r="P64" s="136">
        <v>3179</v>
      </c>
      <c r="Q64" s="198" t="s">
        <v>356</v>
      </c>
    </row>
    <row r="65" spans="1:17" s="14" customFormat="1" ht="15.75" thickBot="1" x14ac:dyDescent="0.3">
      <c r="A65" s="221" t="s">
        <v>296</v>
      </c>
      <c r="B65" s="215">
        <v>7</v>
      </c>
      <c r="C65" s="216" t="s">
        <v>314</v>
      </c>
      <c r="D65" s="217">
        <f>AVERAGE(D57:D63)</f>
        <v>63.857142857142854</v>
      </c>
      <c r="E65" s="218">
        <f t="shared" ref="E65:P65" si="12">AVERAGE(E57:E63)</f>
        <v>61.571428571428569</v>
      </c>
      <c r="F65" s="219">
        <f t="shared" si="12"/>
        <v>61.833333333333336</v>
      </c>
      <c r="G65" s="220">
        <f t="shared" si="12"/>
        <v>59.833333333333336</v>
      </c>
      <c r="H65" s="218">
        <f t="shared" si="12"/>
        <v>15.142857142857142</v>
      </c>
      <c r="I65" s="218">
        <f t="shared" si="12"/>
        <v>16.857142857142858</v>
      </c>
      <c r="J65" s="219">
        <f t="shared" si="12"/>
        <v>12.5</v>
      </c>
      <c r="K65" s="218">
        <f>AVERAGE(K57:K64)</f>
        <v>10.714285714285714</v>
      </c>
      <c r="L65" s="217">
        <f t="shared" si="12"/>
        <v>51.857142857142854</v>
      </c>
      <c r="M65" s="218">
        <f t="shared" si="12"/>
        <v>46.428571428571431</v>
      </c>
      <c r="N65" s="220">
        <f t="shared" si="12"/>
        <v>47.333333333333336</v>
      </c>
      <c r="O65" s="218">
        <f t="shared" si="12"/>
        <v>6142.8571428571431</v>
      </c>
      <c r="P65" s="218">
        <f t="shared" si="12"/>
        <v>6088.4285714285716</v>
      </c>
      <c r="Q65" s="219">
        <f t="shared" ref="Q65" si="13">AVERAGE(Q57:Q63)</f>
        <v>3610.6666666666665</v>
      </c>
    </row>
    <row r="66" spans="1:17" x14ac:dyDescent="0.25">
      <c r="A66" s="20">
        <v>2011</v>
      </c>
      <c r="B66" s="45">
        <v>8</v>
      </c>
      <c r="C66" s="21" t="s">
        <v>151</v>
      </c>
      <c r="D66" s="20">
        <v>913</v>
      </c>
      <c r="E66" s="210">
        <v>1626</v>
      </c>
      <c r="F66" s="196">
        <v>821</v>
      </c>
      <c r="G66" s="211">
        <v>901</v>
      </c>
      <c r="H66" s="210">
        <v>403</v>
      </c>
      <c r="I66" s="210">
        <v>265</v>
      </c>
      <c r="J66" s="196">
        <v>332</v>
      </c>
      <c r="K66" s="210">
        <v>407</v>
      </c>
      <c r="L66" s="20">
        <v>333</v>
      </c>
      <c r="M66" s="210">
        <v>303</v>
      </c>
      <c r="N66" s="211">
        <v>326</v>
      </c>
      <c r="O66" s="210">
        <v>80159</v>
      </c>
      <c r="P66" s="210">
        <v>83432</v>
      </c>
      <c r="Q66" s="196">
        <v>44755</v>
      </c>
    </row>
    <row r="67" spans="1:17" x14ac:dyDescent="0.25">
      <c r="A67" s="22">
        <v>2012</v>
      </c>
      <c r="B67" s="214">
        <v>8</v>
      </c>
      <c r="C67" s="87" t="s">
        <v>152</v>
      </c>
      <c r="D67" s="22">
        <v>1128</v>
      </c>
      <c r="E67" s="136">
        <v>949</v>
      </c>
      <c r="F67" s="197">
        <v>1023</v>
      </c>
      <c r="G67" s="212">
        <v>1234</v>
      </c>
      <c r="H67" s="136">
        <v>393</v>
      </c>
      <c r="I67" s="136">
        <v>377</v>
      </c>
      <c r="J67" s="197">
        <v>328</v>
      </c>
      <c r="K67" s="136">
        <v>361</v>
      </c>
      <c r="L67" s="22">
        <v>496</v>
      </c>
      <c r="M67" s="136">
        <v>349</v>
      </c>
      <c r="N67" s="212">
        <v>491</v>
      </c>
      <c r="O67" s="136">
        <v>42027</v>
      </c>
      <c r="P67" s="136">
        <v>39856</v>
      </c>
      <c r="Q67" s="197">
        <v>21145</v>
      </c>
    </row>
    <row r="68" spans="1:17" x14ac:dyDescent="0.25">
      <c r="A68" s="22">
        <v>2013</v>
      </c>
      <c r="B68" s="214">
        <v>8</v>
      </c>
      <c r="C68" s="87" t="s">
        <v>153</v>
      </c>
      <c r="D68" s="22">
        <v>1117</v>
      </c>
      <c r="E68" s="136">
        <v>1248</v>
      </c>
      <c r="F68" s="197">
        <v>1007</v>
      </c>
      <c r="G68" s="212">
        <v>1165</v>
      </c>
      <c r="H68" s="136">
        <v>319</v>
      </c>
      <c r="I68" s="136">
        <v>370</v>
      </c>
      <c r="J68" s="197">
        <v>263</v>
      </c>
      <c r="K68" s="136">
        <v>336</v>
      </c>
      <c r="L68" s="22">
        <v>421</v>
      </c>
      <c r="M68" s="136">
        <v>532</v>
      </c>
      <c r="N68" s="212">
        <v>415</v>
      </c>
      <c r="O68" s="136">
        <v>48508</v>
      </c>
      <c r="P68" s="136">
        <v>49030</v>
      </c>
      <c r="Q68" s="197">
        <v>26666</v>
      </c>
    </row>
    <row r="69" spans="1:17" x14ac:dyDescent="0.25">
      <c r="A69" s="22">
        <v>2014</v>
      </c>
      <c r="B69" s="214">
        <v>8</v>
      </c>
      <c r="C69" s="87" t="s">
        <v>154</v>
      </c>
      <c r="D69" s="22">
        <v>1540</v>
      </c>
      <c r="E69" s="136">
        <v>1218</v>
      </c>
      <c r="F69" s="197">
        <v>1399</v>
      </c>
      <c r="G69" s="212">
        <v>1471</v>
      </c>
      <c r="H69" s="136">
        <v>356</v>
      </c>
      <c r="I69" s="136">
        <v>332</v>
      </c>
      <c r="J69" s="197">
        <v>274</v>
      </c>
      <c r="K69" s="136">
        <v>348</v>
      </c>
      <c r="L69" s="22">
        <v>542</v>
      </c>
      <c r="M69" s="136">
        <v>391</v>
      </c>
      <c r="N69" s="212">
        <v>541</v>
      </c>
      <c r="O69" s="136">
        <v>42863</v>
      </c>
      <c r="P69" s="136">
        <v>44485</v>
      </c>
      <c r="Q69" s="197">
        <v>25785</v>
      </c>
    </row>
    <row r="70" spans="1:17" x14ac:dyDescent="0.25">
      <c r="A70" s="22">
        <v>2015</v>
      </c>
      <c r="B70" s="214">
        <v>8</v>
      </c>
      <c r="C70" s="87" t="s">
        <v>155</v>
      </c>
      <c r="D70" s="22">
        <v>1497</v>
      </c>
      <c r="E70" s="136">
        <v>1622</v>
      </c>
      <c r="F70" s="197">
        <v>1306</v>
      </c>
      <c r="G70" s="212">
        <v>1465</v>
      </c>
      <c r="H70" s="136">
        <v>255</v>
      </c>
      <c r="I70" s="136">
        <v>332</v>
      </c>
      <c r="J70" s="197">
        <v>184</v>
      </c>
      <c r="K70" s="136">
        <v>217</v>
      </c>
      <c r="L70" s="22">
        <v>706</v>
      </c>
      <c r="M70" s="136">
        <v>532</v>
      </c>
      <c r="N70" s="212">
        <v>705</v>
      </c>
      <c r="O70" s="136">
        <v>33241</v>
      </c>
      <c r="P70" s="136">
        <v>34636</v>
      </c>
      <c r="Q70" s="197">
        <v>21416</v>
      </c>
    </row>
    <row r="71" spans="1:17" s="14" customFormat="1" x14ac:dyDescent="0.25">
      <c r="A71" s="22">
        <v>2016</v>
      </c>
      <c r="B71" s="214">
        <v>8</v>
      </c>
      <c r="C71" s="87" t="s">
        <v>169</v>
      </c>
      <c r="D71" s="22">
        <v>1168</v>
      </c>
      <c r="E71" s="136">
        <v>1468</v>
      </c>
      <c r="F71" s="197">
        <v>756</v>
      </c>
      <c r="G71" s="212">
        <v>0</v>
      </c>
      <c r="H71" s="136">
        <v>148</v>
      </c>
      <c r="I71" s="136">
        <v>203</v>
      </c>
      <c r="J71" s="197">
        <v>82</v>
      </c>
      <c r="K71" s="136">
        <v>0</v>
      </c>
      <c r="L71" s="22">
        <v>703</v>
      </c>
      <c r="M71" s="136">
        <v>732</v>
      </c>
      <c r="N71" s="212">
        <v>0</v>
      </c>
      <c r="O71" s="136">
        <v>23453</v>
      </c>
      <c r="P71" s="136">
        <v>29397</v>
      </c>
      <c r="Q71" s="197">
        <v>15478</v>
      </c>
    </row>
    <row r="72" spans="1:17" s="14" customFormat="1" x14ac:dyDescent="0.25">
      <c r="A72" s="22">
        <v>2017</v>
      </c>
      <c r="B72" s="214">
        <v>8</v>
      </c>
      <c r="C72" s="87" t="s">
        <v>193</v>
      </c>
      <c r="D72" s="22">
        <v>932</v>
      </c>
      <c r="E72" s="136">
        <v>403</v>
      </c>
      <c r="F72" s="198" t="s">
        <v>356</v>
      </c>
      <c r="G72" s="212">
        <v>240</v>
      </c>
      <c r="H72" s="136">
        <v>42</v>
      </c>
      <c r="I72" s="136">
        <v>26</v>
      </c>
      <c r="J72" s="198" t="s">
        <v>356</v>
      </c>
      <c r="K72" s="136">
        <v>25</v>
      </c>
      <c r="L72" s="22">
        <v>315</v>
      </c>
      <c r="M72" s="136">
        <v>136</v>
      </c>
      <c r="N72" s="212">
        <v>135</v>
      </c>
      <c r="O72" s="136">
        <v>7476</v>
      </c>
      <c r="P72" s="136">
        <v>2897</v>
      </c>
      <c r="Q72" s="198" t="s">
        <v>356</v>
      </c>
    </row>
    <row r="73" spans="1:17" x14ac:dyDescent="0.25">
      <c r="A73" s="22">
        <v>20181</v>
      </c>
      <c r="B73" s="214">
        <v>8</v>
      </c>
      <c r="C73" s="87" t="str">
        <f>B73&amp;"_"&amp;A73</f>
        <v>8_20181</v>
      </c>
      <c r="D73" s="22">
        <v>191</v>
      </c>
      <c r="E73" s="136">
        <v>544</v>
      </c>
      <c r="F73" s="198" t="s">
        <v>356</v>
      </c>
      <c r="G73" s="212">
        <v>294</v>
      </c>
      <c r="H73" s="136">
        <v>33</v>
      </c>
      <c r="I73" s="136">
        <v>30</v>
      </c>
      <c r="J73" s="198" t="s">
        <v>356</v>
      </c>
      <c r="K73" s="136">
        <v>29</v>
      </c>
      <c r="L73" s="22">
        <v>314</v>
      </c>
      <c r="M73" s="136">
        <v>193</v>
      </c>
      <c r="N73" s="212">
        <v>192</v>
      </c>
      <c r="O73" s="136">
        <v>8921</v>
      </c>
      <c r="P73" s="136">
        <v>4917</v>
      </c>
      <c r="Q73" s="198" t="s">
        <v>356</v>
      </c>
    </row>
    <row r="74" spans="1:17" s="14" customFormat="1" ht="15.75" thickBot="1" x14ac:dyDescent="0.3">
      <c r="A74" s="221" t="s">
        <v>296</v>
      </c>
      <c r="B74" s="215">
        <v>8</v>
      </c>
      <c r="C74" s="216" t="s">
        <v>313</v>
      </c>
      <c r="D74" s="217">
        <f>AVERAGE(D66:D72)</f>
        <v>1185</v>
      </c>
      <c r="E74" s="218">
        <f t="shared" ref="E74:P74" si="14">AVERAGE(E66:E72)</f>
        <v>1219.1428571428571</v>
      </c>
      <c r="F74" s="219">
        <f>AVERAGE(F66:F72)</f>
        <v>1052</v>
      </c>
      <c r="G74" s="220">
        <f>AVERAGE(G66:G72)</f>
        <v>925.14285714285711</v>
      </c>
      <c r="H74" s="218">
        <f t="shared" si="14"/>
        <v>273.71428571428572</v>
      </c>
      <c r="I74" s="218">
        <f t="shared" si="14"/>
        <v>272.14285714285717</v>
      </c>
      <c r="J74" s="219">
        <f t="shared" si="14"/>
        <v>243.83333333333334</v>
      </c>
      <c r="K74" s="218">
        <f>AVERAGE(K66:K73)</f>
        <v>215.375</v>
      </c>
      <c r="L74" s="217">
        <f t="shared" si="14"/>
        <v>502.28571428571428</v>
      </c>
      <c r="M74" s="218">
        <f t="shared" si="14"/>
        <v>425</v>
      </c>
      <c r="N74" s="220">
        <f t="shared" si="14"/>
        <v>373.28571428571428</v>
      </c>
      <c r="O74" s="218">
        <f t="shared" si="14"/>
        <v>39675.285714285717</v>
      </c>
      <c r="P74" s="218">
        <f t="shared" si="14"/>
        <v>40533.285714285717</v>
      </c>
      <c r="Q74" s="219">
        <f t="shared" ref="Q74" si="15">AVERAGE(Q66:Q72)</f>
        <v>25874.166666666668</v>
      </c>
    </row>
    <row r="75" spans="1:17" x14ac:dyDescent="0.25">
      <c r="A75" s="20">
        <v>2011</v>
      </c>
      <c r="B75" s="45">
        <v>9</v>
      </c>
      <c r="C75" s="21" t="s">
        <v>156</v>
      </c>
      <c r="D75" s="20">
        <v>157</v>
      </c>
      <c r="E75" s="210">
        <v>96</v>
      </c>
      <c r="F75" s="196">
        <v>127</v>
      </c>
      <c r="G75" s="211">
        <v>114</v>
      </c>
      <c r="H75" s="210">
        <v>124</v>
      </c>
      <c r="I75" s="210">
        <v>59</v>
      </c>
      <c r="J75" s="196">
        <v>88</v>
      </c>
      <c r="K75" s="210">
        <v>75</v>
      </c>
      <c r="L75" s="20">
        <v>112</v>
      </c>
      <c r="M75" s="210">
        <v>94</v>
      </c>
      <c r="N75" s="211">
        <v>101</v>
      </c>
      <c r="O75" s="210">
        <v>16585</v>
      </c>
      <c r="P75" s="210">
        <v>17014</v>
      </c>
      <c r="Q75" s="196">
        <v>9394</v>
      </c>
    </row>
    <row r="76" spans="1:17" x14ac:dyDescent="0.25">
      <c r="A76" s="22">
        <v>2012</v>
      </c>
      <c r="B76" s="214">
        <v>9</v>
      </c>
      <c r="C76" s="87" t="s">
        <v>157</v>
      </c>
      <c r="D76" s="22">
        <v>89</v>
      </c>
      <c r="E76" s="136">
        <v>148</v>
      </c>
      <c r="F76" s="197">
        <v>70</v>
      </c>
      <c r="G76" s="212">
        <v>50</v>
      </c>
      <c r="H76" s="136">
        <v>62</v>
      </c>
      <c r="I76" s="136">
        <v>130</v>
      </c>
      <c r="J76" s="197">
        <v>44</v>
      </c>
      <c r="K76" s="136">
        <v>18</v>
      </c>
      <c r="L76" s="22">
        <v>129</v>
      </c>
      <c r="M76" s="136">
        <v>66</v>
      </c>
      <c r="N76" s="212">
        <v>113</v>
      </c>
      <c r="O76" s="136">
        <v>7139</v>
      </c>
      <c r="P76" s="136">
        <v>8541</v>
      </c>
      <c r="Q76" s="197">
        <v>3837</v>
      </c>
    </row>
    <row r="77" spans="1:17" x14ac:dyDescent="0.25">
      <c r="A77" s="22">
        <v>2013</v>
      </c>
      <c r="B77" s="214">
        <v>9</v>
      </c>
      <c r="C77" s="87" t="s">
        <v>158</v>
      </c>
      <c r="D77" s="22">
        <v>85</v>
      </c>
      <c r="E77" s="136">
        <v>76</v>
      </c>
      <c r="F77" s="197">
        <v>66</v>
      </c>
      <c r="G77" s="212">
        <v>72</v>
      </c>
      <c r="H77" s="136">
        <v>21</v>
      </c>
      <c r="I77" s="136">
        <v>23</v>
      </c>
      <c r="J77" s="197">
        <v>18</v>
      </c>
      <c r="K77" s="136">
        <v>18</v>
      </c>
      <c r="L77" s="22">
        <v>127</v>
      </c>
      <c r="M77" s="136">
        <v>117</v>
      </c>
      <c r="N77" s="212">
        <v>117</v>
      </c>
      <c r="O77" s="136">
        <v>5355</v>
      </c>
      <c r="P77" s="136">
        <v>4743</v>
      </c>
      <c r="Q77" s="197">
        <v>4103</v>
      </c>
    </row>
    <row r="78" spans="1:17" x14ac:dyDescent="0.25">
      <c r="A78" s="22">
        <v>2014</v>
      </c>
      <c r="B78" s="214">
        <v>9</v>
      </c>
      <c r="C78" s="87" t="s">
        <v>159</v>
      </c>
      <c r="D78" s="22">
        <v>166</v>
      </c>
      <c r="E78" s="136">
        <v>127</v>
      </c>
      <c r="F78" s="197">
        <v>142</v>
      </c>
      <c r="G78" s="212">
        <v>152</v>
      </c>
      <c r="H78" s="136">
        <v>39</v>
      </c>
      <c r="I78" s="136">
        <v>31</v>
      </c>
      <c r="J78" s="197">
        <v>29</v>
      </c>
      <c r="K78" s="136">
        <v>34</v>
      </c>
      <c r="L78" s="22">
        <v>120</v>
      </c>
      <c r="M78" s="136">
        <v>119</v>
      </c>
      <c r="N78" s="212">
        <v>117</v>
      </c>
      <c r="O78" s="136">
        <v>6656</v>
      </c>
      <c r="P78" s="136">
        <v>6615</v>
      </c>
      <c r="Q78" s="197">
        <v>5406</v>
      </c>
    </row>
    <row r="79" spans="1:17" x14ac:dyDescent="0.25">
      <c r="A79" s="22">
        <v>2015</v>
      </c>
      <c r="B79" s="214">
        <v>9</v>
      </c>
      <c r="C79" s="87" t="s">
        <v>160</v>
      </c>
      <c r="D79" s="22">
        <v>279</v>
      </c>
      <c r="E79" s="136">
        <v>312</v>
      </c>
      <c r="F79" s="197">
        <v>193</v>
      </c>
      <c r="G79" s="212">
        <v>210</v>
      </c>
      <c r="H79" s="136">
        <v>65</v>
      </c>
      <c r="I79" s="136">
        <v>72</v>
      </c>
      <c r="J79" s="197">
        <v>42</v>
      </c>
      <c r="K79" s="136">
        <v>46</v>
      </c>
      <c r="L79" s="22">
        <v>105</v>
      </c>
      <c r="M79" s="136">
        <v>165</v>
      </c>
      <c r="N79" s="212">
        <v>100</v>
      </c>
      <c r="O79" s="136">
        <v>23125</v>
      </c>
      <c r="P79" s="136">
        <v>23972</v>
      </c>
      <c r="Q79" s="197">
        <v>13949</v>
      </c>
    </row>
    <row r="80" spans="1:17" s="14" customFormat="1" x14ac:dyDescent="0.25">
      <c r="A80" s="22">
        <v>2016</v>
      </c>
      <c r="B80" s="214">
        <v>9</v>
      </c>
      <c r="C80" s="87" t="s">
        <v>170</v>
      </c>
      <c r="D80" s="22">
        <v>137</v>
      </c>
      <c r="E80" s="136">
        <v>270</v>
      </c>
      <c r="F80" s="197">
        <v>106</v>
      </c>
      <c r="G80" s="212"/>
      <c r="H80" s="136">
        <v>36</v>
      </c>
      <c r="I80" s="136">
        <v>73</v>
      </c>
      <c r="J80" s="197">
        <v>22</v>
      </c>
      <c r="K80" s="136"/>
      <c r="L80" s="22">
        <v>77</v>
      </c>
      <c r="M80" s="136">
        <v>109</v>
      </c>
      <c r="N80" s="212"/>
      <c r="O80" s="136">
        <v>9064</v>
      </c>
      <c r="P80" s="136">
        <v>21316</v>
      </c>
      <c r="Q80" s="197">
        <v>5893</v>
      </c>
    </row>
    <row r="81" spans="1:17" s="14" customFormat="1" x14ac:dyDescent="0.25">
      <c r="A81" s="22">
        <v>2017</v>
      </c>
      <c r="B81" s="214">
        <v>9</v>
      </c>
      <c r="C81" s="87" t="s">
        <v>194</v>
      </c>
      <c r="D81" s="22">
        <v>106</v>
      </c>
      <c r="E81" s="136">
        <v>24</v>
      </c>
      <c r="F81" s="198" t="s">
        <v>356</v>
      </c>
      <c r="G81" s="212">
        <v>25</v>
      </c>
      <c r="H81" s="136">
        <v>5</v>
      </c>
      <c r="I81" s="136">
        <v>1</v>
      </c>
      <c r="J81" s="198" t="s">
        <v>356</v>
      </c>
      <c r="K81" s="136">
        <v>0</v>
      </c>
      <c r="L81" s="22">
        <v>26</v>
      </c>
      <c r="M81" s="136">
        <v>21</v>
      </c>
      <c r="N81" s="212">
        <v>21</v>
      </c>
      <c r="O81" s="136">
        <v>5866</v>
      </c>
      <c r="P81" s="136">
        <v>3508</v>
      </c>
      <c r="Q81" s="198" t="s">
        <v>356</v>
      </c>
    </row>
    <row r="82" spans="1:17" x14ac:dyDescent="0.25">
      <c r="A82" s="22">
        <v>20181</v>
      </c>
      <c r="B82" s="214">
        <v>9</v>
      </c>
      <c r="C82" s="87" t="str">
        <f>B82&amp;"_"&amp;A82</f>
        <v>9_20181</v>
      </c>
      <c r="D82" s="22">
        <v>145</v>
      </c>
      <c r="E82" s="136">
        <v>48</v>
      </c>
      <c r="F82" s="198" t="s">
        <v>356</v>
      </c>
      <c r="G82" s="212">
        <v>38</v>
      </c>
      <c r="H82" s="136">
        <v>4</v>
      </c>
      <c r="I82" s="136">
        <v>3</v>
      </c>
      <c r="J82" s="198" t="s">
        <v>356</v>
      </c>
      <c r="K82" s="136">
        <v>2</v>
      </c>
      <c r="L82" s="22">
        <v>72</v>
      </c>
      <c r="M82" s="136">
        <v>25</v>
      </c>
      <c r="N82" s="212">
        <v>25</v>
      </c>
      <c r="O82" s="136">
        <v>5021</v>
      </c>
      <c r="P82" s="136">
        <v>4383</v>
      </c>
      <c r="Q82" s="198" t="s">
        <v>356</v>
      </c>
    </row>
    <row r="83" spans="1:17" s="14" customFormat="1" ht="15.75" thickBot="1" x14ac:dyDescent="0.3">
      <c r="A83" s="221" t="s">
        <v>296</v>
      </c>
      <c r="B83" s="215">
        <v>9</v>
      </c>
      <c r="C83" s="216" t="s">
        <v>312</v>
      </c>
      <c r="D83" s="217">
        <f>AVERAGE(D75:D81)</f>
        <v>145.57142857142858</v>
      </c>
      <c r="E83" s="218">
        <f t="shared" ref="E83:P83" si="16">AVERAGE(E75:E81)</f>
        <v>150.42857142857142</v>
      </c>
      <c r="F83" s="219">
        <f t="shared" si="16"/>
        <v>117.33333333333333</v>
      </c>
      <c r="G83" s="220">
        <f t="shared" si="16"/>
        <v>103.83333333333333</v>
      </c>
      <c r="H83" s="218">
        <f t="shared" si="16"/>
        <v>50.285714285714285</v>
      </c>
      <c r="I83" s="218">
        <f t="shared" si="16"/>
        <v>55.571428571428569</v>
      </c>
      <c r="J83" s="219">
        <f t="shared" si="16"/>
        <v>40.5</v>
      </c>
      <c r="K83" s="218">
        <f>AVERAGE(K75:K82)</f>
        <v>27.571428571428573</v>
      </c>
      <c r="L83" s="217">
        <f t="shared" si="16"/>
        <v>99.428571428571431</v>
      </c>
      <c r="M83" s="218">
        <f t="shared" si="16"/>
        <v>98.714285714285708</v>
      </c>
      <c r="N83" s="220">
        <f t="shared" si="16"/>
        <v>94.833333333333329</v>
      </c>
      <c r="O83" s="218">
        <f t="shared" si="16"/>
        <v>10541.428571428571</v>
      </c>
      <c r="P83" s="218">
        <f t="shared" si="16"/>
        <v>12244.142857142857</v>
      </c>
      <c r="Q83" s="219">
        <f t="shared" ref="Q83" si="17">AVERAGE(Q75:Q81)</f>
        <v>7097</v>
      </c>
    </row>
    <row r="84" spans="1:17" x14ac:dyDescent="0.25">
      <c r="A84" s="20">
        <v>2011</v>
      </c>
      <c r="B84" s="45">
        <v>10</v>
      </c>
      <c r="C84" s="21" t="s">
        <v>20</v>
      </c>
      <c r="D84" s="20">
        <v>507</v>
      </c>
      <c r="E84" s="210">
        <v>406</v>
      </c>
      <c r="F84" s="196">
        <v>377</v>
      </c>
      <c r="G84" s="211">
        <v>414</v>
      </c>
      <c r="H84" s="210">
        <v>561</v>
      </c>
      <c r="I84" s="210">
        <v>419</v>
      </c>
      <c r="J84" s="196">
        <v>446</v>
      </c>
      <c r="K84" s="210">
        <v>404</v>
      </c>
      <c r="L84" s="20">
        <v>155</v>
      </c>
      <c r="M84" s="210">
        <v>118</v>
      </c>
      <c r="N84" s="211">
        <v>146</v>
      </c>
      <c r="O84" s="210">
        <v>32279</v>
      </c>
      <c r="P84" s="210">
        <v>33154</v>
      </c>
      <c r="Q84" s="196">
        <v>17074</v>
      </c>
    </row>
    <row r="85" spans="1:17" x14ac:dyDescent="0.25">
      <c r="A85" s="22">
        <v>2012</v>
      </c>
      <c r="B85" s="214">
        <v>10</v>
      </c>
      <c r="C85" s="87" t="s">
        <v>21</v>
      </c>
      <c r="D85" s="22">
        <v>367</v>
      </c>
      <c r="E85" s="136">
        <v>480</v>
      </c>
      <c r="F85" s="197">
        <v>270</v>
      </c>
      <c r="G85" s="212">
        <v>217</v>
      </c>
      <c r="H85" s="136">
        <v>511</v>
      </c>
      <c r="I85" s="136">
        <v>603</v>
      </c>
      <c r="J85" s="197">
        <v>416</v>
      </c>
      <c r="K85" s="136">
        <v>358</v>
      </c>
      <c r="L85" s="22">
        <v>168</v>
      </c>
      <c r="M85" s="136">
        <v>156</v>
      </c>
      <c r="N85" s="212">
        <v>161</v>
      </c>
      <c r="O85" s="136">
        <v>12356</v>
      </c>
      <c r="P85" s="136">
        <v>12171</v>
      </c>
      <c r="Q85" s="197">
        <v>7348</v>
      </c>
    </row>
    <row r="86" spans="1:17" x14ac:dyDescent="0.25">
      <c r="A86" s="22">
        <v>2013</v>
      </c>
      <c r="B86" s="214">
        <v>10</v>
      </c>
      <c r="C86" s="87" t="s">
        <v>22</v>
      </c>
      <c r="D86" s="22">
        <v>759</v>
      </c>
      <c r="E86" s="136">
        <v>646</v>
      </c>
      <c r="F86" s="197">
        <v>454</v>
      </c>
      <c r="G86" s="212">
        <v>903</v>
      </c>
      <c r="H86" s="136">
        <v>600</v>
      </c>
      <c r="I86" s="136">
        <v>701</v>
      </c>
      <c r="J86" s="197">
        <v>312</v>
      </c>
      <c r="K86" s="136">
        <v>401</v>
      </c>
      <c r="L86" s="22">
        <v>263</v>
      </c>
      <c r="M86" s="136">
        <v>186</v>
      </c>
      <c r="N86" s="212">
        <v>256</v>
      </c>
      <c r="O86" s="136">
        <v>18977</v>
      </c>
      <c r="P86" s="136">
        <v>20021</v>
      </c>
      <c r="Q86" s="197">
        <v>11265</v>
      </c>
    </row>
    <row r="87" spans="1:17" x14ac:dyDescent="0.25">
      <c r="A87" s="22">
        <v>2014</v>
      </c>
      <c r="B87" s="214">
        <v>10</v>
      </c>
      <c r="C87" s="87" t="s">
        <v>23</v>
      </c>
      <c r="D87" s="22">
        <v>589</v>
      </c>
      <c r="E87" s="136">
        <v>782</v>
      </c>
      <c r="F87" s="197">
        <v>537</v>
      </c>
      <c r="G87" s="212">
        <v>221</v>
      </c>
      <c r="H87" s="136">
        <v>113</v>
      </c>
      <c r="I87" s="136">
        <v>189</v>
      </c>
      <c r="J87" s="197">
        <v>84</v>
      </c>
      <c r="K87" s="136">
        <v>63</v>
      </c>
      <c r="L87" s="22">
        <v>214</v>
      </c>
      <c r="M87" s="136">
        <v>277</v>
      </c>
      <c r="N87" s="212">
        <v>209</v>
      </c>
      <c r="O87" s="136">
        <v>20102</v>
      </c>
      <c r="P87" s="136">
        <v>18269</v>
      </c>
      <c r="Q87" s="197">
        <v>12392</v>
      </c>
    </row>
    <row r="88" spans="1:17" x14ac:dyDescent="0.25">
      <c r="A88" s="22">
        <v>2015</v>
      </c>
      <c r="B88" s="214">
        <v>10</v>
      </c>
      <c r="C88" s="87" t="s">
        <v>24</v>
      </c>
      <c r="D88" s="22">
        <v>163</v>
      </c>
      <c r="E88" s="136">
        <v>183</v>
      </c>
      <c r="F88" s="197">
        <v>131</v>
      </c>
      <c r="G88" s="212">
        <v>150</v>
      </c>
      <c r="H88" s="136">
        <v>36</v>
      </c>
      <c r="I88" s="136">
        <v>69</v>
      </c>
      <c r="J88" s="197">
        <v>26</v>
      </c>
      <c r="K88" s="136">
        <v>33</v>
      </c>
      <c r="L88" s="22">
        <v>292</v>
      </c>
      <c r="M88" s="136">
        <v>208</v>
      </c>
      <c r="N88" s="212">
        <v>288</v>
      </c>
      <c r="O88" s="136">
        <v>16401</v>
      </c>
      <c r="P88" s="136">
        <v>17287</v>
      </c>
      <c r="Q88" s="197">
        <v>9907</v>
      </c>
    </row>
    <row r="89" spans="1:17" s="14" customFormat="1" x14ac:dyDescent="0.25">
      <c r="A89" s="22">
        <v>2016</v>
      </c>
      <c r="B89" s="214">
        <v>10</v>
      </c>
      <c r="C89" s="87" t="s">
        <v>171</v>
      </c>
      <c r="D89" s="22">
        <v>188</v>
      </c>
      <c r="E89" s="136">
        <v>163</v>
      </c>
      <c r="F89" s="197">
        <v>59</v>
      </c>
      <c r="G89" s="212"/>
      <c r="H89" s="136">
        <v>28</v>
      </c>
      <c r="I89" s="136">
        <v>37</v>
      </c>
      <c r="J89" s="197">
        <v>1</v>
      </c>
      <c r="K89" s="136"/>
      <c r="L89" s="22">
        <v>262</v>
      </c>
      <c r="M89" s="136">
        <v>294</v>
      </c>
      <c r="N89" s="212"/>
      <c r="O89" s="136">
        <v>14928</v>
      </c>
      <c r="P89" s="136">
        <v>15500</v>
      </c>
      <c r="Q89" s="197">
        <v>9246</v>
      </c>
    </row>
    <row r="90" spans="1:17" s="14" customFormat="1" x14ac:dyDescent="0.25">
      <c r="A90" s="22">
        <v>2017</v>
      </c>
      <c r="B90" s="214">
        <v>10</v>
      </c>
      <c r="C90" s="87" t="s">
        <v>195</v>
      </c>
      <c r="D90" s="22">
        <v>97</v>
      </c>
      <c r="E90" s="136">
        <v>42</v>
      </c>
      <c r="F90" s="198" t="s">
        <v>356</v>
      </c>
      <c r="G90" s="212">
        <v>31</v>
      </c>
      <c r="H90" s="136">
        <v>9</v>
      </c>
      <c r="I90" s="136">
        <v>6</v>
      </c>
      <c r="J90" s="198" t="s">
        <v>356</v>
      </c>
      <c r="K90" s="136">
        <v>5</v>
      </c>
      <c r="L90" s="22">
        <v>133</v>
      </c>
      <c r="M90" s="136">
        <v>57</v>
      </c>
      <c r="N90" s="212">
        <v>56</v>
      </c>
      <c r="O90" s="136">
        <v>8501</v>
      </c>
      <c r="P90" s="136">
        <v>5321</v>
      </c>
      <c r="Q90" s="198" t="s">
        <v>356</v>
      </c>
    </row>
    <row r="91" spans="1:17" x14ac:dyDescent="0.25">
      <c r="A91" s="22">
        <v>20181</v>
      </c>
      <c r="B91" s="214">
        <v>10</v>
      </c>
      <c r="C91" s="87" t="str">
        <f>B91&amp;"_"&amp;A91</f>
        <v>10_20181</v>
      </c>
      <c r="D91" s="22">
        <v>125</v>
      </c>
      <c r="E91" s="136">
        <v>71</v>
      </c>
      <c r="F91" s="198" t="s">
        <v>356</v>
      </c>
      <c r="G91" s="212">
        <v>53</v>
      </c>
      <c r="H91" s="136">
        <v>6</v>
      </c>
      <c r="I91" s="136">
        <v>7</v>
      </c>
      <c r="J91" s="198" t="s">
        <v>356</v>
      </c>
      <c r="K91" s="136">
        <v>6</v>
      </c>
      <c r="L91" s="22">
        <v>123</v>
      </c>
      <c r="M91" s="136">
        <v>85</v>
      </c>
      <c r="N91" s="212">
        <v>83</v>
      </c>
      <c r="O91" s="136">
        <v>8074</v>
      </c>
      <c r="P91" s="136">
        <v>6778</v>
      </c>
      <c r="Q91" s="198" t="s">
        <v>356</v>
      </c>
    </row>
    <row r="92" spans="1:17" s="14" customFormat="1" ht="15.75" thickBot="1" x14ac:dyDescent="0.3">
      <c r="A92" s="221" t="s">
        <v>296</v>
      </c>
      <c r="B92" s="215">
        <v>10</v>
      </c>
      <c r="C92" s="216" t="s">
        <v>311</v>
      </c>
      <c r="D92" s="217">
        <f>AVERAGE(D84:D90)</f>
        <v>381.42857142857144</v>
      </c>
      <c r="E92" s="218">
        <f t="shared" ref="E92:P92" si="18">AVERAGE(E84:E90)</f>
        <v>386</v>
      </c>
      <c r="F92" s="219">
        <f t="shared" si="18"/>
        <v>304.66666666666669</v>
      </c>
      <c r="G92" s="220">
        <f t="shared" si="18"/>
        <v>322.66666666666669</v>
      </c>
      <c r="H92" s="218">
        <f t="shared" si="18"/>
        <v>265.42857142857144</v>
      </c>
      <c r="I92" s="218">
        <f t="shared" si="18"/>
        <v>289.14285714285717</v>
      </c>
      <c r="J92" s="219">
        <f t="shared" si="18"/>
        <v>214.16666666666666</v>
      </c>
      <c r="K92" s="218">
        <f>AVERAGE(K84:K91)</f>
        <v>181.42857142857142</v>
      </c>
      <c r="L92" s="217">
        <f t="shared" si="18"/>
        <v>212.42857142857142</v>
      </c>
      <c r="M92" s="218">
        <f t="shared" si="18"/>
        <v>185.14285714285714</v>
      </c>
      <c r="N92" s="220">
        <f t="shared" si="18"/>
        <v>186</v>
      </c>
      <c r="O92" s="218">
        <f t="shared" si="18"/>
        <v>17649.142857142859</v>
      </c>
      <c r="P92" s="218">
        <f t="shared" si="18"/>
        <v>17389</v>
      </c>
      <c r="Q92" s="219">
        <f t="shared" ref="Q92" si="19">AVERAGE(Q84:Q90)</f>
        <v>11205.333333333334</v>
      </c>
    </row>
    <row r="93" spans="1:17" x14ac:dyDescent="0.25">
      <c r="A93" s="20">
        <v>2011</v>
      </c>
      <c r="B93" s="45">
        <v>11</v>
      </c>
      <c r="C93" s="21" t="s">
        <v>25</v>
      </c>
      <c r="D93" s="20">
        <v>1340</v>
      </c>
      <c r="E93" s="210">
        <v>1155</v>
      </c>
      <c r="F93" s="196">
        <v>1092</v>
      </c>
      <c r="G93" s="211">
        <v>769</v>
      </c>
      <c r="H93" s="210">
        <v>281</v>
      </c>
      <c r="I93" s="210">
        <v>260</v>
      </c>
      <c r="J93" s="196">
        <v>230</v>
      </c>
      <c r="K93" s="210">
        <v>181</v>
      </c>
      <c r="L93" s="20">
        <v>209</v>
      </c>
      <c r="M93" s="210">
        <v>130</v>
      </c>
      <c r="N93" s="211">
        <v>185</v>
      </c>
      <c r="O93" s="210">
        <v>34838</v>
      </c>
      <c r="P93" s="210">
        <v>35307</v>
      </c>
      <c r="Q93" s="196">
        <v>18857</v>
      </c>
    </row>
    <row r="94" spans="1:17" x14ac:dyDescent="0.25">
      <c r="A94" s="22">
        <v>2012</v>
      </c>
      <c r="B94" s="214">
        <v>11</v>
      </c>
      <c r="C94" s="87" t="s">
        <v>26</v>
      </c>
      <c r="D94" s="22">
        <v>1414</v>
      </c>
      <c r="E94" s="136">
        <v>1370</v>
      </c>
      <c r="F94" s="197">
        <v>1115</v>
      </c>
      <c r="G94" s="212">
        <v>817</v>
      </c>
      <c r="H94" s="136">
        <v>311</v>
      </c>
      <c r="I94" s="136">
        <v>316</v>
      </c>
      <c r="J94" s="197">
        <v>255</v>
      </c>
      <c r="K94" s="136">
        <v>201</v>
      </c>
      <c r="L94" s="22">
        <v>260</v>
      </c>
      <c r="M94" s="136">
        <v>260</v>
      </c>
      <c r="N94" s="212">
        <v>254</v>
      </c>
      <c r="O94" s="136">
        <v>26836</v>
      </c>
      <c r="P94" s="136">
        <v>20191</v>
      </c>
      <c r="Q94" s="197">
        <v>13558</v>
      </c>
    </row>
    <row r="95" spans="1:17" x14ac:dyDescent="0.25">
      <c r="A95" s="22">
        <v>2013</v>
      </c>
      <c r="B95" s="214">
        <v>11</v>
      </c>
      <c r="C95" s="87" t="s">
        <v>27</v>
      </c>
      <c r="D95" s="22">
        <v>1101</v>
      </c>
      <c r="E95" s="136">
        <v>1389</v>
      </c>
      <c r="F95" s="197">
        <v>929</v>
      </c>
      <c r="G95" s="212">
        <v>614</v>
      </c>
      <c r="H95" s="136">
        <v>250</v>
      </c>
      <c r="I95" s="136">
        <v>257</v>
      </c>
      <c r="J95" s="197">
        <v>206</v>
      </c>
      <c r="K95" s="136">
        <v>160</v>
      </c>
      <c r="L95" s="22">
        <v>182</v>
      </c>
      <c r="M95" s="136">
        <v>210</v>
      </c>
      <c r="N95" s="212">
        <v>182</v>
      </c>
      <c r="O95" s="136">
        <v>28561</v>
      </c>
      <c r="P95" s="136">
        <v>31582</v>
      </c>
      <c r="Q95" s="197">
        <v>15617</v>
      </c>
    </row>
    <row r="96" spans="1:17" x14ac:dyDescent="0.25">
      <c r="A96" s="22">
        <v>2014</v>
      </c>
      <c r="B96" s="214">
        <v>11</v>
      </c>
      <c r="C96" s="87" t="s">
        <v>28</v>
      </c>
      <c r="D96" s="22">
        <v>614</v>
      </c>
      <c r="E96" s="136">
        <v>678</v>
      </c>
      <c r="F96" s="197">
        <v>531</v>
      </c>
      <c r="G96" s="212">
        <v>625</v>
      </c>
      <c r="H96" s="136">
        <v>95</v>
      </c>
      <c r="I96" s="136">
        <v>181</v>
      </c>
      <c r="J96" s="197">
        <v>79</v>
      </c>
      <c r="K96" s="136">
        <v>81</v>
      </c>
      <c r="L96" s="22">
        <v>138</v>
      </c>
      <c r="M96" s="136">
        <v>191</v>
      </c>
      <c r="N96" s="212">
        <v>138</v>
      </c>
      <c r="O96" s="136">
        <v>23129</v>
      </c>
      <c r="P96" s="136">
        <v>25963</v>
      </c>
      <c r="Q96" s="197">
        <v>13543</v>
      </c>
    </row>
    <row r="97" spans="1:17" x14ac:dyDescent="0.25">
      <c r="A97" s="22">
        <v>2015</v>
      </c>
      <c r="B97" s="214">
        <v>11</v>
      </c>
      <c r="C97" s="87" t="s">
        <v>29</v>
      </c>
      <c r="D97" s="22">
        <v>739</v>
      </c>
      <c r="E97" s="136">
        <v>718</v>
      </c>
      <c r="F97" s="197">
        <v>661</v>
      </c>
      <c r="G97" s="212">
        <v>697</v>
      </c>
      <c r="H97" s="136">
        <v>80</v>
      </c>
      <c r="I97" s="136">
        <v>93</v>
      </c>
      <c r="J97" s="197">
        <v>68</v>
      </c>
      <c r="K97" s="136">
        <v>74</v>
      </c>
      <c r="L97" s="22">
        <v>108</v>
      </c>
      <c r="M97" s="136">
        <v>109</v>
      </c>
      <c r="N97" s="212">
        <v>108</v>
      </c>
      <c r="O97" s="136">
        <v>19244</v>
      </c>
      <c r="P97" s="136">
        <v>17591</v>
      </c>
      <c r="Q97" s="197">
        <v>12456</v>
      </c>
    </row>
    <row r="98" spans="1:17" s="14" customFormat="1" x14ac:dyDescent="0.25">
      <c r="A98" s="22">
        <v>2016</v>
      </c>
      <c r="B98" s="214">
        <v>11</v>
      </c>
      <c r="C98" s="87" t="s">
        <v>172</v>
      </c>
      <c r="D98" s="22">
        <v>824</v>
      </c>
      <c r="E98" s="136">
        <v>758</v>
      </c>
      <c r="F98" s="197">
        <v>553</v>
      </c>
      <c r="G98" s="212"/>
      <c r="H98" s="136">
        <v>96</v>
      </c>
      <c r="I98" s="136">
        <v>83</v>
      </c>
      <c r="J98" s="197">
        <v>58</v>
      </c>
      <c r="K98" s="136"/>
      <c r="L98" s="22">
        <v>136</v>
      </c>
      <c r="M98" s="136">
        <v>108</v>
      </c>
      <c r="N98" s="212"/>
      <c r="O98" s="136">
        <v>22825</v>
      </c>
      <c r="P98" s="136">
        <v>22603</v>
      </c>
      <c r="Q98" s="197">
        <v>14519</v>
      </c>
    </row>
    <row r="99" spans="1:17" s="14" customFormat="1" x14ac:dyDescent="0.25">
      <c r="A99" s="22">
        <v>2017</v>
      </c>
      <c r="B99" s="214">
        <v>11</v>
      </c>
      <c r="C99" s="87" t="s">
        <v>196</v>
      </c>
      <c r="D99" s="22">
        <v>430</v>
      </c>
      <c r="E99" s="136">
        <v>145</v>
      </c>
      <c r="F99" s="198" t="s">
        <v>356</v>
      </c>
      <c r="G99" s="212">
        <v>16</v>
      </c>
      <c r="H99" s="136">
        <v>29</v>
      </c>
      <c r="I99" s="136">
        <v>16</v>
      </c>
      <c r="J99" s="198" t="s">
        <v>356</v>
      </c>
      <c r="K99" s="136">
        <v>9</v>
      </c>
      <c r="L99" s="22">
        <v>148</v>
      </c>
      <c r="M99" s="136">
        <v>39</v>
      </c>
      <c r="N99" s="212">
        <v>39</v>
      </c>
      <c r="O99" s="136">
        <v>17199</v>
      </c>
      <c r="P99" s="136">
        <v>8967</v>
      </c>
      <c r="Q99" s="198" t="s">
        <v>356</v>
      </c>
    </row>
    <row r="100" spans="1:17" x14ac:dyDescent="0.25">
      <c r="A100" s="22">
        <v>20181</v>
      </c>
      <c r="B100" s="214">
        <v>11</v>
      </c>
      <c r="C100" s="87" t="str">
        <f>B100&amp;"_"&amp;A100</f>
        <v>11_20181</v>
      </c>
      <c r="D100" s="22">
        <v>518</v>
      </c>
      <c r="E100" s="136">
        <v>246</v>
      </c>
      <c r="F100" s="198" t="s">
        <v>356</v>
      </c>
      <c r="G100" s="212">
        <v>21</v>
      </c>
      <c r="H100" s="136">
        <v>33</v>
      </c>
      <c r="I100" s="136">
        <v>18</v>
      </c>
      <c r="J100" s="198" t="s">
        <v>356</v>
      </c>
      <c r="K100" s="136">
        <v>9</v>
      </c>
      <c r="L100" s="22">
        <v>159</v>
      </c>
      <c r="M100" s="136">
        <v>79</v>
      </c>
      <c r="N100" s="212">
        <v>79</v>
      </c>
      <c r="O100" s="136">
        <v>16345</v>
      </c>
      <c r="P100" s="136">
        <v>13792</v>
      </c>
      <c r="Q100" s="198" t="s">
        <v>356</v>
      </c>
    </row>
    <row r="101" spans="1:17" s="14" customFormat="1" ht="15.75" thickBot="1" x14ac:dyDescent="0.3">
      <c r="A101" s="221" t="s">
        <v>296</v>
      </c>
      <c r="B101" s="215">
        <v>11</v>
      </c>
      <c r="C101" s="216" t="s">
        <v>310</v>
      </c>
      <c r="D101" s="217">
        <f>AVERAGE(D93:D99)</f>
        <v>923.14285714285711</v>
      </c>
      <c r="E101" s="218">
        <f t="shared" ref="E101:P101" si="20">AVERAGE(E93:E99)</f>
        <v>887.57142857142856</v>
      </c>
      <c r="F101" s="219">
        <f t="shared" si="20"/>
        <v>813.5</v>
      </c>
      <c r="G101" s="220">
        <f t="shared" si="20"/>
        <v>589.66666666666663</v>
      </c>
      <c r="H101" s="218">
        <f t="shared" si="20"/>
        <v>163.14285714285714</v>
      </c>
      <c r="I101" s="218">
        <f t="shared" si="20"/>
        <v>172.28571428571428</v>
      </c>
      <c r="J101" s="219">
        <f t="shared" si="20"/>
        <v>149.33333333333334</v>
      </c>
      <c r="K101" s="218">
        <f>AVERAGE(K93:K100)</f>
        <v>102.14285714285714</v>
      </c>
      <c r="L101" s="217">
        <f t="shared" si="20"/>
        <v>168.71428571428572</v>
      </c>
      <c r="M101" s="218">
        <f t="shared" si="20"/>
        <v>149.57142857142858</v>
      </c>
      <c r="N101" s="220">
        <f t="shared" si="20"/>
        <v>151</v>
      </c>
      <c r="O101" s="218">
        <f t="shared" si="20"/>
        <v>24661.714285714286</v>
      </c>
      <c r="P101" s="218">
        <f t="shared" si="20"/>
        <v>23172</v>
      </c>
      <c r="Q101" s="219">
        <f t="shared" ref="Q101" si="21">AVERAGE(Q93:Q99)</f>
        <v>14758.333333333334</v>
      </c>
    </row>
    <row r="102" spans="1:17" x14ac:dyDescent="0.25">
      <c r="A102" s="20">
        <v>2011</v>
      </c>
      <c r="B102" s="45">
        <v>12</v>
      </c>
      <c r="C102" s="21" t="s">
        <v>30</v>
      </c>
      <c r="D102" s="20">
        <v>894</v>
      </c>
      <c r="E102" s="210">
        <v>1432</v>
      </c>
      <c r="F102" s="196">
        <v>610</v>
      </c>
      <c r="G102" s="211">
        <v>680</v>
      </c>
      <c r="H102" s="210">
        <v>1002</v>
      </c>
      <c r="I102" s="210">
        <v>956</v>
      </c>
      <c r="J102" s="196">
        <v>717</v>
      </c>
      <c r="K102" s="210">
        <v>589</v>
      </c>
      <c r="L102" s="20">
        <v>1007</v>
      </c>
      <c r="M102" s="210">
        <v>1096</v>
      </c>
      <c r="N102" s="211">
        <v>995</v>
      </c>
      <c r="O102" s="210">
        <v>106568</v>
      </c>
      <c r="P102" s="210">
        <v>113394</v>
      </c>
      <c r="Q102" s="196">
        <v>60202</v>
      </c>
    </row>
    <row r="103" spans="1:17" x14ac:dyDescent="0.25">
      <c r="A103" s="22">
        <v>2012</v>
      </c>
      <c r="B103" s="214">
        <v>12</v>
      </c>
      <c r="C103" s="87" t="s">
        <v>31</v>
      </c>
      <c r="D103" s="22">
        <v>956</v>
      </c>
      <c r="E103" s="136">
        <v>888</v>
      </c>
      <c r="F103" s="197">
        <v>676</v>
      </c>
      <c r="G103" s="212">
        <v>576</v>
      </c>
      <c r="H103" s="136">
        <v>1136</v>
      </c>
      <c r="I103" s="136">
        <v>1051</v>
      </c>
      <c r="J103" s="197">
        <v>824</v>
      </c>
      <c r="K103" s="136">
        <v>509</v>
      </c>
      <c r="L103" s="22">
        <v>120</v>
      </c>
      <c r="M103" s="136">
        <v>826</v>
      </c>
      <c r="N103" s="212">
        <v>114</v>
      </c>
      <c r="O103" s="136">
        <v>62816</v>
      </c>
      <c r="P103" s="136">
        <v>52840</v>
      </c>
      <c r="Q103" s="197">
        <v>35272</v>
      </c>
    </row>
    <row r="104" spans="1:17" x14ac:dyDescent="0.25">
      <c r="A104" s="22">
        <v>2013</v>
      </c>
      <c r="B104" s="214">
        <v>12</v>
      </c>
      <c r="C104" s="87" t="s">
        <v>32</v>
      </c>
      <c r="D104" s="22">
        <v>1151</v>
      </c>
      <c r="E104" s="136">
        <v>1140</v>
      </c>
      <c r="F104" s="197">
        <v>791</v>
      </c>
      <c r="G104" s="212">
        <v>419</v>
      </c>
      <c r="H104" s="136">
        <v>693</v>
      </c>
      <c r="I104" s="136">
        <v>1061</v>
      </c>
      <c r="J104" s="197">
        <v>520</v>
      </c>
      <c r="K104" s="136">
        <v>294</v>
      </c>
      <c r="L104" s="22">
        <v>927</v>
      </c>
      <c r="M104" s="136">
        <v>840</v>
      </c>
      <c r="N104" s="212">
        <v>921</v>
      </c>
      <c r="O104" s="136">
        <v>74288</v>
      </c>
      <c r="P104" s="136">
        <v>79403</v>
      </c>
      <c r="Q104" s="197">
        <v>43269</v>
      </c>
    </row>
    <row r="105" spans="1:17" x14ac:dyDescent="0.25">
      <c r="A105" s="22">
        <v>2014</v>
      </c>
      <c r="B105" s="214">
        <v>12</v>
      </c>
      <c r="C105" s="87" t="s">
        <v>33</v>
      </c>
      <c r="D105" s="22">
        <v>713</v>
      </c>
      <c r="E105" s="136">
        <v>996</v>
      </c>
      <c r="F105" s="197">
        <v>560</v>
      </c>
      <c r="G105" s="212">
        <v>341</v>
      </c>
      <c r="H105" s="136">
        <v>423</v>
      </c>
      <c r="I105" s="136">
        <v>600</v>
      </c>
      <c r="J105" s="197">
        <v>334</v>
      </c>
      <c r="K105" s="136">
        <v>186</v>
      </c>
      <c r="L105" s="22">
        <v>89</v>
      </c>
      <c r="M105" s="136">
        <v>135</v>
      </c>
      <c r="N105" s="212">
        <v>86</v>
      </c>
      <c r="O105" s="136">
        <v>56998</v>
      </c>
      <c r="P105" s="136">
        <v>58353</v>
      </c>
      <c r="Q105" s="197">
        <v>36002</v>
      </c>
    </row>
    <row r="106" spans="1:17" x14ac:dyDescent="0.25">
      <c r="A106" s="22">
        <v>2015</v>
      </c>
      <c r="B106" s="214">
        <v>12</v>
      </c>
      <c r="C106" s="87" t="s">
        <v>34</v>
      </c>
      <c r="D106" s="22">
        <v>2215</v>
      </c>
      <c r="E106" s="136">
        <v>978</v>
      </c>
      <c r="F106" s="197">
        <v>1504</v>
      </c>
      <c r="G106" s="212">
        <v>1200</v>
      </c>
      <c r="H106" s="136">
        <v>766</v>
      </c>
      <c r="I106" s="136">
        <v>450</v>
      </c>
      <c r="J106" s="197">
        <v>496</v>
      </c>
      <c r="K106" s="136">
        <v>317</v>
      </c>
      <c r="L106" s="22">
        <v>852</v>
      </c>
      <c r="M106" s="136">
        <v>287</v>
      </c>
      <c r="N106" s="212">
        <v>846</v>
      </c>
      <c r="O106" s="136">
        <v>57096</v>
      </c>
      <c r="P106" s="136">
        <v>59559</v>
      </c>
      <c r="Q106" s="197">
        <v>37751</v>
      </c>
    </row>
    <row r="107" spans="1:17" s="14" customFormat="1" x14ac:dyDescent="0.25">
      <c r="A107" s="22">
        <v>2016</v>
      </c>
      <c r="B107" s="214">
        <v>12</v>
      </c>
      <c r="C107" s="87" t="s">
        <v>173</v>
      </c>
      <c r="D107" s="22">
        <v>1038</v>
      </c>
      <c r="E107" s="136">
        <v>2226</v>
      </c>
      <c r="F107" s="197">
        <v>62</v>
      </c>
      <c r="G107" s="212"/>
      <c r="H107" s="136">
        <v>250</v>
      </c>
      <c r="I107" s="136">
        <v>694</v>
      </c>
      <c r="J107" s="197">
        <v>21</v>
      </c>
      <c r="K107" s="136"/>
      <c r="L107" s="22">
        <v>850</v>
      </c>
      <c r="M107" s="136">
        <v>851</v>
      </c>
      <c r="N107" s="212"/>
      <c r="O107" s="136">
        <v>46356</v>
      </c>
      <c r="P107" s="136">
        <v>56705</v>
      </c>
      <c r="Q107" s="197">
        <v>30534</v>
      </c>
    </row>
    <row r="108" spans="1:17" s="14" customFormat="1" x14ac:dyDescent="0.25">
      <c r="A108" s="22">
        <v>2017</v>
      </c>
      <c r="B108" s="214">
        <v>12</v>
      </c>
      <c r="C108" s="87" t="s">
        <v>197</v>
      </c>
      <c r="D108" s="22">
        <v>1464</v>
      </c>
      <c r="E108" s="136">
        <v>494</v>
      </c>
      <c r="F108" s="198" t="s">
        <v>356</v>
      </c>
      <c r="G108" s="212">
        <v>310</v>
      </c>
      <c r="H108" s="136">
        <v>262</v>
      </c>
      <c r="I108" s="136">
        <v>79</v>
      </c>
      <c r="J108" s="198" t="s">
        <v>356</v>
      </c>
      <c r="K108" s="136">
        <v>50</v>
      </c>
      <c r="L108" s="22">
        <v>449</v>
      </c>
      <c r="M108" s="136">
        <v>189</v>
      </c>
      <c r="N108" s="212">
        <v>188</v>
      </c>
      <c r="O108" s="136">
        <v>31037</v>
      </c>
      <c r="P108" s="136">
        <v>15931</v>
      </c>
      <c r="Q108" s="198" t="s">
        <v>356</v>
      </c>
    </row>
    <row r="109" spans="1:17" x14ac:dyDescent="0.25">
      <c r="A109" s="22">
        <v>20181</v>
      </c>
      <c r="B109" s="214">
        <v>12</v>
      </c>
      <c r="C109" s="87" t="str">
        <f>B109&amp;"_"&amp;A109</f>
        <v>12_20181</v>
      </c>
      <c r="D109" s="22">
        <v>1497</v>
      </c>
      <c r="E109" s="136">
        <v>982</v>
      </c>
      <c r="F109" s="198" t="s">
        <v>356</v>
      </c>
      <c r="G109" s="212">
        <v>659</v>
      </c>
      <c r="H109" s="136">
        <v>259</v>
      </c>
      <c r="I109" s="136">
        <v>158</v>
      </c>
      <c r="J109" s="198" t="s">
        <v>356</v>
      </c>
      <c r="K109" s="136">
        <v>104</v>
      </c>
      <c r="L109" s="22">
        <v>428</v>
      </c>
      <c r="M109" s="136">
        <v>323</v>
      </c>
      <c r="N109" s="212">
        <v>319</v>
      </c>
      <c r="O109" s="136">
        <v>29644</v>
      </c>
      <c r="P109" s="136">
        <v>23679</v>
      </c>
      <c r="Q109" s="198" t="s">
        <v>356</v>
      </c>
    </row>
    <row r="110" spans="1:17" s="14" customFormat="1" ht="15.75" thickBot="1" x14ac:dyDescent="0.3">
      <c r="A110" s="221"/>
      <c r="B110" s="215">
        <v>12</v>
      </c>
      <c r="C110" s="216" t="s">
        <v>309</v>
      </c>
      <c r="D110" s="217">
        <f>AVERAGE(D102:D108)</f>
        <v>1204.4285714285713</v>
      </c>
      <c r="E110" s="218">
        <f t="shared" ref="E110:P110" si="22">AVERAGE(E102:E108)</f>
        <v>1164.8571428571429</v>
      </c>
      <c r="F110" s="219">
        <f t="shared" si="22"/>
        <v>700.5</v>
      </c>
      <c r="G110" s="220">
        <f t="shared" si="22"/>
        <v>587.66666666666663</v>
      </c>
      <c r="H110" s="218">
        <f t="shared" si="22"/>
        <v>647.42857142857144</v>
      </c>
      <c r="I110" s="218">
        <f t="shared" si="22"/>
        <v>698.71428571428567</v>
      </c>
      <c r="J110" s="219">
        <f t="shared" si="22"/>
        <v>485.33333333333331</v>
      </c>
      <c r="K110" s="218">
        <f>AVERAGE(K102:K109)</f>
        <v>292.71428571428572</v>
      </c>
      <c r="L110" s="217">
        <f t="shared" si="22"/>
        <v>613.42857142857144</v>
      </c>
      <c r="M110" s="218">
        <f t="shared" si="22"/>
        <v>603.42857142857144</v>
      </c>
      <c r="N110" s="220">
        <f t="shared" si="22"/>
        <v>525</v>
      </c>
      <c r="O110" s="218">
        <f t="shared" si="22"/>
        <v>62165.571428571428</v>
      </c>
      <c r="P110" s="218">
        <f t="shared" si="22"/>
        <v>62312.142857142855</v>
      </c>
      <c r="Q110" s="219">
        <f t="shared" ref="Q110" si="23">AVERAGE(Q102:Q108)</f>
        <v>40505</v>
      </c>
    </row>
    <row r="111" spans="1:17" x14ac:dyDescent="0.25">
      <c r="A111" s="20">
        <v>2011</v>
      </c>
      <c r="B111" s="45">
        <v>13</v>
      </c>
      <c r="C111" s="21" t="s">
        <v>35</v>
      </c>
      <c r="D111" s="20">
        <v>93</v>
      </c>
      <c r="E111" s="210">
        <v>162</v>
      </c>
      <c r="F111" s="196">
        <v>75</v>
      </c>
      <c r="G111" s="211">
        <v>88</v>
      </c>
      <c r="H111" s="210">
        <v>136</v>
      </c>
      <c r="I111" s="210">
        <v>200</v>
      </c>
      <c r="J111" s="196">
        <v>107</v>
      </c>
      <c r="K111" s="210">
        <v>94</v>
      </c>
      <c r="L111" s="20">
        <v>54</v>
      </c>
      <c r="M111" s="210">
        <v>78</v>
      </c>
      <c r="N111" s="211">
        <v>48</v>
      </c>
      <c r="O111" s="210">
        <v>39125</v>
      </c>
      <c r="P111" s="210">
        <v>40770</v>
      </c>
      <c r="Q111" s="196">
        <v>22712</v>
      </c>
    </row>
    <row r="112" spans="1:17" x14ac:dyDescent="0.25">
      <c r="A112" s="22">
        <v>2012</v>
      </c>
      <c r="B112" s="214">
        <v>13</v>
      </c>
      <c r="C112" s="87" t="s">
        <v>36</v>
      </c>
      <c r="D112" s="22">
        <v>189</v>
      </c>
      <c r="E112" s="136">
        <v>122</v>
      </c>
      <c r="F112" s="197">
        <v>160</v>
      </c>
      <c r="G112" s="212">
        <v>185</v>
      </c>
      <c r="H112" s="136">
        <v>154</v>
      </c>
      <c r="I112" s="136">
        <v>140</v>
      </c>
      <c r="J112" s="197">
        <v>119</v>
      </c>
      <c r="K112" s="136">
        <v>146</v>
      </c>
      <c r="L112" s="22">
        <v>164</v>
      </c>
      <c r="M112" s="136">
        <v>53</v>
      </c>
      <c r="N112" s="212">
        <v>148</v>
      </c>
      <c r="O112" s="136">
        <v>17770</v>
      </c>
      <c r="P112" s="136">
        <v>17341</v>
      </c>
      <c r="Q112" s="197">
        <v>9956</v>
      </c>
    </row>
    <row r="113" spans="1:17" x14ac:dyDescent="0.25">
      <c r="A113" s="22">
        <v>2013</v>
      </c>
      <c r="B113" s="214">
        <v>13</v>
      </c>
      <c r="C113" s="87" t="s">
        <v>37</v>
      </c>
      <c r="D113" s="22">
        <v>238</v>
      </c>
      <c r="E113" s="136">
        <v>235</v>
      </c>
      <c r="F113" s="197">
        <v>193</v>
      </c>
      <c r="G113" s="212">
        <v>162</v>
      </c>
      <c r="H113" s="136">
        <v>254</v>
      </c>
      <c r="I113" s="136">
        <v>185</v>
      </c>
      <c r="J113" s="197">
        <v>185</v>
      </c>
      <c r="K113" s="136">
        <v>166</v>
      </c>
      <c r="L113" s="22">
        <v>157</v>
      </c>
      <c r="M113" s="136">
        <v>184</v>
      </c>
      <c r="N113" s="212">
        <v>140</v>
      </c>
      <c r="O113" s="136">
        <v>30571</v>
      </c>
      <c r="P113" s="136">
        <v>22878</v>
      </c>
      <c r="Q113" s="197">
        <v>18553</v>
      </c>
    </row>
    <row r="114" spans="1:17" x14ac:dyDescent="0.25">
      <c r="A114" s="22">
        <v>2014</v>
      </c>
      <c r="B114" s="214">
        <v>13</v>
      </c>
      <c r="C114" s="87" t="s">
        <v>38</v>
      </c>
      <c r="D114" s="22">
        <v>268</v>
      </c>
      <c r="E114" s="136">
        <v>221</v>
      </c>
      <c r="F114" s="197">
        <v>215</v>
      </c>
      <c r="G114" s="212">
        <v>184</v>
      </c>
      <c r="H114" s="136">
        <v>329</v>
      </c>
      <c r="I114" s="136">
        <v>281</v>
      </c>
      <c r="J114" s="197">
        <v>265</v>
      </c>
      <c r="K114" s="136">
        <v>140</v>
      </c>
      <c r="L114" s="22">
        <v>218</v>
      </c>
      <c r="M114" s="136">
        <v>178</v>
      </c>
      <c r="N114" s="212">
        <v>197</v>
      </c>
      <c r="O114" s="136">
        <v>23342</v>
      </c>
      <c r="P114" s="136">
        <v>29445</v>
      </c>
      <c r="Q114" s="197">
        <v>15291</v>
      </c>
    </row>
    <row r="115" spans="1:17" x14ac:dyDescent="0.25">
      <c r="A115" s="22">
        <v>2015</v>
      </c>
      <c r="B115" s="214">
        <v>13</v>
      </c>
      <c r="C115" s="87" t="s">
        <v>39</v>
      </c>
      <c r="D115" s="22">
        <v>174</v>
      </c>
      <c r="E115" s="136">
        <v>244</v>
      </c>
      <c r="F115" s="197">
        <v>136</v>
      </c>
      <c r="G115" s="212">
        <v>133</v>
      </c>
      <c r="H115" s="136">
        <v>168</v>
      </c>
      <c r="I115" s="136">
        <v>285</v>
      </c>
      <c r="J115" s="197">
        <v>105</v>
      </c>
      <c r="K115" s="136">
        <v>95</v>
      </c>
      <c r="L115" s="22">
        <v>277</v>
      </c>
      <c r="M115" s="136">
        <v>245</v>
      </c>
      <c r="N115" s="212">
        <v>238</v>
      </c>
      <c r="O115" s="136">
        <v>24918</v>
      </c>
      <c r="P115" s="136">
        <v>25099</v>
      </c>
      <c r="Q115" s="197">
        <v>15905</v>
      </c>
    </row>
    <row r="116" spans="1:17" s="14" customFormat="1" x14ac:dyDescent="0.25">
      <c r="A116" s="22">
        <v>2016</v>
      </c>
      <c r="B116" s="214">
        <v>13</v>
      </c>
      <c r="C116" s="87" t="s">
        <v>174</v>
      </c>
      <c r="D116" s="22">
        <v>183</v>
      </c>
      <c r="E116" s="136">
        <v>172</v>
      </c>
      <c r="F116" s="197">
        <v>120</v>
      </c>
      <c r="G116" s="212"/>
      <c r="H116" s="136">
        <v>89</v>
      </c>
      <c r="I116" s="136">
        <v>164</v>
      </c>
      <c r="J116" s="197">
        <v>61</v>
      </c>
      <c r="K116" s="136"/>
      <c r="L116" s="22">
        <v>305</v>
      </c>
      <c r="M116" s="136">
        <v>278</v>
      </c>
      <c r="N116" s="212"/>
      <c r="O116" s="136">
        <v>25219</v>
      </c>
      <c r="P116" s="136">
        <v>26801</v>
      </c>
      <c r="Q116" s="197">
        <v>15166</v>
      </c>
    </row>
    <row r="117" spans="1:17" s="14" customFormat="1" x14ac:dyDescent="0.25">
      <c r="A117" s="22">
        <v>2017</v>
      </c>
      <c r="B117" s="214">
        <v>13</v>
      </c>
      <c r="C117" s="87" t="s">
        <v>198</v>
      </c>
      <c r="D117" s="22">
        <v>135</v>
      </c>
      <c r="E117" s="136">
        <v>84</v>
      </c>
      <c r="F117" s="198" t="s">
        <v>356</v>
      </c>
      <c r="G117" s="212">
        <v>28</v>
      </c>
      <c r="H117" s="136">
        <v>63</v>
      </c>
      <c r="I117" s="136">
        <v>34</v>
      </c>
      <c r="J117" s="198" t="s">
        <v>356</v>
      </c>
      <c r="K117" s="136">
        <v>6</v>
      </c>
      <c r="L117" s="22">
        <v>240</v>
      </c>
      <c r="M117" s="136">
        <v>83</v>
      </c>
      <c r="N117" s="212">
        <v>65</v>
      </c>
      <c r="O117" s="136">
        <v>16012</v>
      </c>
      <c r="P117" s="136">
        <v>7207</v>
      </c>
      <c r="Q117" s="198" t="s">
        <v>356</v>
      </c>
    </row>
    <row r="118" spans="1:17" x14ac:dyDescent="0.25">
      <c r="A118" s="22">
        <v>20181</v>
      </c>
      <c r="B118" s="214">
        <v>13</v>
      </c>
      <c r="C118" s="87" t="str">
        <f>B118&amp;"_"&amp;A118</f>
        <v>13_20181</v>
      </c>
      <c r="D118" s="22">
        <v>120</v>
      </c>
      <c r="E118" s="136">
        <v>109</v>
      </c>
      <c r="F118" s="198" t="s">
        <v>356</v>
      </c>
      <c r="G118" s="212">
        <v>37</v>
      </c>
      <c r="H118" s="136">
        <v>57</v>
      </c>
      <c r="I118" s="136">
        <v>50</v>
      </c>
      <c r="J118" s="198" t="s">
        <v>356</v>
      </c>
      <c r="K118" s="136">
        <v>11</v>
      </c>
      <c r="L118" s="22">
        <v>227</v>
      </c>
      <c r="M118" s="136">
        <v>129</v>
      </c>
      <c r="N118" s="212">
        <v>99</v>
      </c>
      <c r="O118" s="136">
        <v>16107</v>
      </c>
      <c r="P118" s="136">
        <v>12220</v>
      </c>
      <c r="Q118" s="198" t="s">
        <v>356</v>
      </c>
    </row>
    <row r="119" spans="1:17" s="14" customFormat="1" ht="15.75" thickBot="1" x14ac:dyDescent="0.3">
      <c r="A119" s="221" t="s">
        <v>296</v>
      </c>
      <c r="B119" s="215">
        <v>13</v>
      </c>
      <c r="C119" s="216" t="s">
        <v>308</v>
      </c>
      <c r="D119" s="217">
        <f>AVERAGE(D111:D117)</f>
        <v>182.85714285714286</v>
      </c>
      <c r="E119" s="218">
        <f t="shared" ref="E119:P119" si="24">AVERAGE(E111:E117)</f>
        <v>177.14285714285714</v>
      </c>
      <c r="F119" s="219">
        <f t="shared" si="24"/>
        <v>149.83333333333334</v>
      </c>
      <c r="G119" s="220">
        <f t="shared" si="24"/>
        <v>130</v>
      </c>
      <c r="H119" s="218">
        <f t="shared" si="24"/>
        <v>170.42857142857142</v>
      </c>
      <c r="I119" s="218">
        <f t="shared" si="24"/>
        <v>184.14285714285714</v>
      </c>
      <c r="J119" s="219">
        <f t="shared" si="24"/>
        <v>140.33333333333334</v>
      </c>
      <c r="K119" s="218">
        <f>AVERAGE(K111:K118)</f>
        <v>94</v>
      </c>
      <c r="L119" s="217">
        <f t="shared" si="24"/>
        <v>202.14285714285714</v>
      </c>
      <c r="M119" s="218">
        <f t="shared" si="24"/>
        <v>157</v>
      </c>
      <c r="N119" s="220">
        <f t="shared" si="24"/>
        <v>139.33333333333334</v>
      </c>
      <c r="O119" s="218">
        <f t="shared" si="24"/>
        <v>25279.571428571428</v>
      </c>
      <c r="P119" s="218">
        <f t="shared" si="24"/>
        <v>24220.142857142859</v>
      </c>
      <c r="Q119" s="219">
        <f t="shared" ref="Q119" si="25">AVERAGE(Q111:Q117)</f>
        <v>16263.833333333334</v>
      </c>
    </row>
    <row r="120" spans="1:17" x14ac:dyDescent="0.25">
      <c r="A120" s="20">
        <v>2011</v>
      </c>
      <c r="B120" s="45">
        <v>14</v>
      </c>
      <c r="C120" s="21" t="s">
        <v>40</v>
      </c>
      <c r="D120" s="20">
        <v>1653</v>
      </c>
      <c r="E120" s="210">
        <v>2555</v>
      </c>
      <c r="F120" s="196">
        <v>1535</v>
      </c>
      <c r="G120" s="211">
        <v>1032</v>
      </c>
      <c r="H120" s="210">
        <v>689</v>
      </c>
      <c r="I120" s="210">
        <v>445</v>
      </c>
      <c r="J120" s="196">
        <v>603</v>
      </c>
      <c r="K120" s="210">
        <v>683</v>
      </c>
      <c r="L120" s="20">
        <v>451</v>
      </c>
      <c r="M120" s="210">
        <v>341</v>
      </c>
      <c r="N120" s="211">
        <v>451</v>
      </c>
      <c r="O120" s="210">
        <v>32459</v>
      </c>
      <c r="P120" s="210">
        <v>32597</v>
      </c>
      <c r="Q120" s="196">
        <v>21921</v>
      </c>
    </row>
    <row r="121" spans="1:17" x14ac:dyDescent="0.25">
      <c r="A121" s="22">
        <v>2012</v>
      </c>
      <c r="B121" s="214">
        <v>14</v>
      </c>
      <c r="C121" s="87" t="s">
        <v>41</v>
      </c>
      <c r="D121" s="22">
        <v>1478</v>
      </c>
      <c r="E121" s="136">
        <v>1801</v>
      </c>
      <c r="F121" s="197">
        <v>1388</v>
      </c>
      <c r="G121" s="212">
        <v>824</v>
      </c>
      <c r="H121" s="136">
        <v>930</v>
      </c>
      <c r="I121" s="136">
        <v>933</v>
      </c>
      <c r="J121" s="197">
        <v>819</v>
      </c>
      <c r="K121" s="136">
        <v>751</v>
      </c>
      <c r="L121" s="22">
        <v>437</v>
      </c>
      <c r="M121" s="136">
        <v>429</v>
      </c>
      <c r="N121" s="212">
        <v>433</v>
      </c>
      <c r="O121" s="136">
        <v>26541</v>
      </c>
      <c r="P121" s="136">
        <v>24436</v>
      </c>
      <c r="Q121" s="197">
        <v>17439</v>
      </c>
    </row>
    <row r="122" spans="1:17" x14ac:dyDescent="0.25">
      <c r="A122" s="22">
        <v>2013</v>
      </c>
      <c r="B122" s="214">
        <v>14</v>
      </c>
      <c r="C122" s="87" t="s">
        <v>42</v>
      </c>
      <c r="D122" s="22">
        <v>2302</v>
      </c>
      <c r="E122" s="136">
        <v>1295</v>
      </c>
      <c r="F122" s="197">
        <v>2185</v>
      </c>
      <c r="G122" s="212">
        <v>2070</v>
      </c>
      <c r="H122" s="136">
        <v>1092</v>
      </c>
      <c r="I122" s="136">
        <v>926</v>
      </c>
      <c r="J122" s="197">
        <v>890</v>
      </c>
      <c r="K122" s="136">
        <v>923</v>
      </c>
      <c r="L122" s="22">
        <v>417</v>
      </c>
      <c r="M122" s="136">
        <v>455</v>
      </c>
      <c r="N122" s="212">
        <v>412</v>
      </c>
      <c r="O122" s="136">
        <v>39789</v>
      </c>
      <c r="P122" s="136">
        <v>38589</v>
      </c>
      <c r="Q122" s="197">
        <v>25251</v>
      </c>
    </row>
    <row r="123" spans="1:17" x14ac:dyDescent="0.25">
      <c r="A123" s="22">
        <v>2014</v>
      </c>
      <c r="B123" s="214">
        <v>14</v>
      </c>
      <c r="C123" s="87" t="s">
        <v>43</v>
      </c>
      <c r="D123" s="22">
        <v>1646</v>
      </c>
      <c r="E123" s="136">
        <v>2461</v>
      </c>
      <c r="F123" s="197">
        <v>1580</v>
      </c>
      <c r="G123" s="212">
        <v>1711</v>
      </c>
      <c r="H123" s="136">
        <v>575</v>
      </c>
      <c r="I123" s="136">
        <v>936</v>
      </c>
      <c r="J123" s="197">
        <v>492</v>
      </c>
      <c r="K123" s="136">
        <v>436</v>
      </c>
      <c r="L123" s="22">
        <v>308</v>
      </c>
      <c r="M123" s="136">
        <v>279</v>
      </c>
      <c r="N123" s="212">
        <v>304</v>
      </c>
      <c r="O123" s="136">
        <v>36611</v>
      </c>
      <c r="P123" s="136">
        <v>38062</v>
      </c>
      <c r="Q123" s="197">
        <v>23170</v>
      </c>
    </row>
    <row r="124" spans="1:17" x14ac:dyDescent="0.25">
      <c r="A124" s="22">
        <v>2015</v>
      </c>
      <c r="B124" s="214">
        <v>14</v>
      </c>
      <c r="C124" s="87" t="s">
        <v>44</v>
      </c>
      <c r="D124" s="22">
        <v>2149</v>
      </c>
      <c r="E124" s="136">
        <v>1822</v>
      </c>
      <c r="F124" s="197">
        <v>2060</v>
      </c>
      <c r="G124" s="212">
        <v>2083</v>
      </c>
      <c r="H124" s="136">
        <v>615</v>
      </c>
      <c r="I124" s="136">
        <v>476</v>
      </c>
      <c r="J124" s="197">
        <v>550</v>
      </c>
      <c r="K124" s="136">
        <v>421</v>
      </c>
      <c r="L124" s="22">
        <v>236</v>
      </c>
      <c r="M124" s="136">
        <v>277</v>
      </c>
      <c r="N124" s="212">
        <v>235</v>
      </c>
      <c r="O124" s="136">
        <v>31113</v>
      </c>
      <c r="P124" s="136">
        <v>32091</v>
      </c>
      <c r="Q124" s="197">
        <v>21912</v>
      </c>
    </row>
    <row r="125" spans="1:17" s="14" customFormat="1" x14ac:dyDescent="0.25">
      <c r="A125" s="22">
        <v>2016</v>
      </c>
      <c r="B125" s="214">
        <v>14</v>
      </c>
      <c r="C125" s="87" t="s">
        <v>175</v>
      </c>
      <c r="D125" s="22">
        <v>2055</v>
      </c>
      <c r="E125" s="136">
        <v>2200</v>
      </c>
      <c r="F125" s="197">
        <v>1851</v>
      </c>
      <c r="G125" s="212"/>
      <c r="H125" s="136">
        <v>631</v>
      </c>
      <c r="I125" s="136">
        <v>610</v>
      </c>
      <c r="J125" s="197">
        <v>485</v>
      </c>
      <c r="K125" s="136"/>
      <c r="L125" s="22">
        <v>246</v>
      </c>
      <c r="M125" s="136">
        <v>236</v>
      </c>
      <c r="N125" s="212"/>
      <c r="O125" s="136">
        <v>28943</v>
      </c>
      <c r="P125" s="136">
        <v>29290</v>
      </c>
      <c r="Q125" s="197">
        <v>21222</v>
      </c>
    </row>
    <row r="126" spans="1:17" s="14" customFormat="1" x14ac:dyDescent="0.25">
      <c r="A126" s="22">
        <v>2017</v>
      </c>
      <c r="B126" s="214">
        <v>14</v>
      </c>
      <c r="C126" s="87" t="s">
        <v>199</v>
      </c>
      <c r="D126" s="22">
        <v>2005</v>
      </c>
      <c r="E126" s="136">
        <v>826</v>
      </c>
      <c r="F126" s="198" t="s">
        <v>356</v>
      </c>
      <c r="G126" s="212">
        <v>325</v>
      </c>
      <c r="H126" s="136">
        <v>938</v>
      </c>
      <c r="I126" s="136">
        <v>362</v>
      </c>
      <c r="J126" s="198" t="s">
        <v>356</v>
      </c>
      <c r="K126" s="136">
        <v>87</v>
      </c>
      <c r="L126" s="22">
        <v>309</v>
      </c>
      <c r="M126" s="136">
        <v>136</v>
      </c>
      <c r="N126" s="212">
        <v>118</v>
      </c>
      <c r="O126" s="136">
        <v>30817</v>
      </c>
      <c r="P126" s="136">
        <v>15984</v>
      </c>
      <c r="Q126" s="198" t="s">
        <v>356</v>
      </c>
    </row>
    <row r="127" spans="1:17" x14ac:dyDescent="0.25">
      <c r="A127" s="22">
        <v>20181</v>
      </c>
      <c r="B127" s="214">
        <v>14</v>
      </c>
      <c r="C127" s="87" t="str">
        <f>B127&amp;"_"&amp;A127</f>
        <v>14_20181</v>
      </c>
      <c r="D127" s="22">
        <v>1806</v>
      </c>
      <c r="E127" s="136">
        <v>1109</v>
      </c>
      <c r="F127" s="198" t="s">
        <v>356</v>
      </c>
      <c r="G127" s="212">
        <v>428</v>
      </c>
      <c r="H127" s="136">
        <v>970</v>
      </c>
      <c r="I127" s="136">
        <v>677</v>
      </c>
      <c r="J127" s="198" t="s">
        <v>356</v>
      </c>
      <c r="K127" s="136">
        <v>162</v>
      </c>
      <c r="L127" s="22">
        <v>339</v>
      </c>
      <c r="M127" s="136">
        <v>271</v>
      </c>
      <c r="N127" s="212">
        <v>214</v>
      </c>
      <c r="O127" s="136">
        <v>27897</v>
      </c>
      <c r="P127" s="136">
        <v>22255</v>
      </c>
      <c r="Q127" s="198" t="s">
        <v>356</v>
      </c>
    </row>
    <row r="128" spans="1:17" s="14" customFormat="1" ht="15.75" thickBot="1" x14ac:dyDescent="0.3">
      <c r="A128" s="221" t="s">
        <v>296</v>
      </c>
      <c r="B128" s="215">
        <v>14</v>
      </c>
      <c r="C128" s="216" t="s">
        <v>307</v>
      </c>
      <c r="D128" s="217">
        <f>AVERAGE(D120:D126)</f>
        <v>1898.2857142857142</v>
      </c>
      <c r="E128" s="218">
        <f t="shared" ref="E128:P128" si="26">AVERAGE(E120:E126)</f>
        <v>1851.4285714285713</v>
      </c>
      <c r="F128" s="219">
        <f t="shared" si="26"/>
        <v>1766.5</v>
      </c>
      <c r="G128" s="220">
        <f t="shared" si="26"/>
        <v>1340.8333333333333</v>
      </c>
      <c r="H128" s="218">
        <f t="shared" si="26"/>
        <v>781.42857142857144</v>
      </c>
      <c r="I128" s="218">
        <f t="shared" si="26"/>
        <v>669.71428571428567</v>
      </c>
      <c r="J128" s="219">
        <f t="shared" si="26"/>
        <v>639.83333333333337</v>
      </c>
      <c r="K128" s="218">
        <f>AVERAGE(K120:K127)</f>
        <v>494.71428571428572</v>
      </c>
      <c r="L128" s="217">
        <f t="shared" si="26"/>
        <v>343.42857142857144</v>
      </c>
      <c r="M128" s="218">
        <f t="shared" si="26"/>
        <v>307.57142857142856</v>
      </c>
      <c r="N128" s="220">
        <f t="shared" si="26"/>
        <v>325.5</v>
      </c>
      <c r="O128" s="218">
        <f t="shared" si="26"/>
        <v>32324.714285714286</v>
      </c>
      <c r="P128" s="218">
        <f t="shared" si="26"/>
        <v>30149.857142857141</v>
      </c>
      <c r="Q128" s="219">
        <f t="shared" ref="Q128" si="27">AVERAGE(Q120:Q126)</f>
        <v>21819.166666666668</v>
      </c>
    </row>
    <row r="129" spans="1:17" x14ac:dyDescent="0.25">
      <c r="A129" s="20">
        <v>2011</v>
      </c>
      <c r="B129" s="45">
        <v>15</v>
      </c>
      <c r="C129" s="21" t="s">
        <v>45</v>
      </c>
      <c r="D129" s="20">
        <v>546</v>
      </c>
      <c r="E129" s="210">
        <v>722</v>
      </c>
      <c r="F129" s="196">
        <v>463</v>
      </c>
      <c r="G129" s="211">
        <v>418</v>
      </c>
      <c r="H129" s="210">
        <v>787</v>
      </c>
      <c r="I129" s="210">
        <v>1185</v>
      </c>
      <c r="J129" s="196">
        <v>641</v>
      </c>
      <c r="K129" s="210">
        <v>637</v>
      </c>
      <c r="L129" s="20">
        <v>515</v>
      </c>
      <c r="M129" s="210">
        <v>500</v>
      </c>
      <c r="N129" s="211">
        <v>501</v>
      </c>
      <c r="O129" s="210">
        <v>64173</v>
      </c>
      <c r="P129" s="210">
        <v>70422</v>
      </c>
      <c r="Q129" s="196">
        <v>38162</v>
      </c>
    </row>
    <row r="130" spans="1:17" x14ac:dyDescent="0.25">
      <c r="A130" s="22">
        <v>2012</v>
      </c>
      <c r="B130" s="214">
        <v>15</v>
      </c>
      <c r="C130" s="87" t="s">
        <v>46</v>
      </c>
      <c r="D130" s="22">
        <v>1132</v>
      </c>
      <c r="E130" s="136">
        <v>565</v>
      </c>
      <c r="F130" s="197">
        <v>984</v>
      </c>
      <c r="G130" s="212">
        <v>1062</v>
      </c>
      <c r="H130" s="136">
        <v>648</v>
      </c>
      <c r="I130" s="136">
        <v>683</v>
      </c>
      <c r="J130" s="197">
        <v>522</v>
      </c>
      <c r="K130" s="136">
        <v>447</v>
      </c>
      <c r="L130" s="22">
        <v>574</v>
      </c>
      <c r="M130" s="136">
        <v>548</v>
      </c>
      <c r="N130" s="212">
        <v>542</v>
      </c>
      <c r="O130" s="136">
        <v>47666</v>
      </c>
      <c r="P130" s="136">
        <v>35235</v>
      </c>
      <c r="Q130" s="197">
        <v>27961</v>
      </c>
    </row>
    <row r="131" spans="1:17" x14ac:dyDescent="0.25">
      <c r="A131" s="22">
        <v>2013</v>
      </c>
      <c r="B131" s="214">
        <v>15</v>
      </c>
      <c r="C131" s="87" t="s">
        <v>47</v>
      </c>
      <c r="D131" s="22">
        <v>1133</v>
      </c>
      <c r="E131" s="136">
        <v>1348</v>
      </c>
      <c r="F131" s="197">
        <v>1037</v>
      </c>
      <c r="G131" s="212">
        <v>940</v>
      </c>
      <c r="H131" s="136">
        <v>457</v>
      </c>
      <c r="I131" s="136">
        <v>590</v>
      </c>
      <c r="J131" s="197">
        <v>363</v>
      </c>
      <c r="K131" s="136">
        <v>460</v>
      </c>
      <c r="L131" s="22">
        <v>170</v>
      </c>
      <c r="M131" s="136">
        <v>450</v>
      </c>
      <c r="N131" s="212">
        <v>158</v>
      </c>
      <c r="O131" s="136">
        <v>49477</v>
      </c>
      <c r="P131" s="136">
        <v>54727</v>
      </c>
      <c r="Q131" s="197">
        <v>34869</v>
      </c>
    </row>
    <row r="132" spans="1:17" x14ac:dyDescent="0.25">
      <c r="A132" s="22">
        <v>2014</v>
      </c>
      <c r="B132" s="214">
        <v>15</v>
      </c>
      <c r="C132" s="87" t="s">
        <v>48</v>
      </c>
      <c r="D132" s="22">
        <v>1627</v>
      </c>
      <c r="E132" s="136">
        <v>1200</v>
      </c>
      <c r="F132" s="197">
        <v>1539</v>
      </c>
      <c r="G132" s="212">
        <v>1453</v>
      </c>
      <c r="H132" s="136">
        <v>684</v>
      </c>
      <c r="I132" s="136">
        <v>555</v>
      </c>
      <c r="J132" s="197">
        <v>595</v>
      </c>
      <c r="K132" s="136">
        <v>709</v>
      </c>
      <c r="L132" s="22">
        <v>285</v>
      </c>
      <c r="M132" s="136">
        <v>169</v>
      </c>
      <c r="N132" s="212">
        <v>260</v>
      </c>
      <c r="O132" s="136">
        <v>46139</v>
      </c>
      <c r="P132" s="136">
        <v>51353</v>
      </c>
      <c r="Q132" s="197">
        <v>34026</v>
      </c>
    </row>
    <row r="133" spans="1:17" x14ac:dyDescent="0.25">
      <c r="A133" s="22">
        <v>2015</v>
      </c>
      <c r="B133" s="214">
        <v>15</v>
      </c>
      <c r="C133" s="87" t="s">
        <v>49</v>
      </c>
      <c r="D133" s="22">
        <v>1426</v>
      </c>
      <c r="E133" s="136">
        <v>1369</v>
      </c>
      <c r="F133" s="197">
        <v>1261</v>
      </c>
      <c r="G133" s="212">
        <v>1229</v>
      </c>
      <c r="H133" s="136">
        <v>1051</v>
      </c>
      <c r="I133" s="136">
        <v>821</v>
      </c>
      <c r="J133" s="197">
        <v>921</v>
      </c>
      <c r="K133" s="136">
        <v>914</v>
      </c>
      <c r="L133" s="22">
        <v>451</v>
      </c>
      <c r="M133" s="136">
        <v>365</v>
      </c>
      <c r="N133" s="212">
        <v>407</v>
      </c>
      <c r="O133" s="136">
        <v>60974</v>
      </c>
      <c r="P133" s="136">
        <v>52046</v>
      </c>
      <c r="Q133" s="197">
        <v>39909</v>
      </c>
    </row>
    <row r="134" spans="1:17" s="14" customFormat="1" x14ac:dyDescent="0.25">
      <c r="A134" s="22">
        <v>2016</v>
      </c>
      <c r="B134" s="214">
        <v>15</v>
      </c>
      <c r="C134" s="87" t="s">
        <v>176</v>
      </c>
      <c r="D134" s="22">
        <v>1968</v>
      </c>
      <c r="E134" s="136">
        <v>1654</v>
      </c>
      <c r="F134" s="197">
        <v>591</v>
      </c>
      <c r="G134" s="212"/>
      <c r="H134" s="136">
        <v>1127</v>
      </c>
      <c r="I134" s="136">
        <v>1066</v>
      </c>
      <c r="J134" s="197">
        <v>459</v>
      </c>
      <c r="K134" s="136"/>
      <c r="L134" s="22">
        <v>331</v>
      </c>
      <c r="M134" s="136">
        <v>447</v>
      </c>
      <c r="N134" s="212"/>
      <c r="O134" s="136">
        <v>56267</v>
      </c>
      <c r="P134" s="136">
        <v>54869</v>
      </c>
      <c r="Q134" s="197">
        <v>34201</v>
      </c>
    </row>
    <row r="135" spans="1:17" s="14" customFormat="1" x14ac:dyDescent="0.25">
      <c r="A135" s="22">
        <v>2017</v>
      </c>
      <c r="B135" s="214">
        <v>15</v>
      </c>
      <c r="C135" s="87" t="s">
        <v>200</v>
      </c>
      <c r="D135" s="22">
        <v>1774</v>
      </c>
      <c r="E135" s="136">
        <v>548</v>
      </c>
      <c r="F135" s="198" t="s">
        <v>356</v>
      </c>
      <c r="G135" s="212">
        <v>123</v>
      </c>
      <c r="H135" s="136">
        <v>820</v>
      </c>
      <c r="I135" s="136">
        <v>434</v>
      </c>
      <c r="J135" s="198" t="s">
        <v>356</v>
      </c>
      <c r="K135" s="136">
        <v>94</v>
      </c>
      <c r="L135" s="22">
        <v>406</v>
      </c>
      <c r="M135" s="136">
        <v>96</v>
      </c>
      <c r="N135" s="212">
        <v>43</v>
      </c>
      <c r="O135" s="136">
        <v>50731</v>
      </c>
      <c r="P135" s="136">
        <v>23647</v>
      </c>
      <c r="Q135" s="198" t="s">
        <v>356</v>
      </c>
    </row>
    <row r="136" spans="1:17" x14ac:dyDescent="0.25">
      <c r="A136" s="22">
        <v>20181</v>
      </c>
      <c r="B136" s="214">
        <v>15</v>
      </c>
      <c r="C136" s="87" t="str">
        <f>B136&amp;"_"&amp;A136</f>
        <v>15_20181</v>
      </c>
      <c r="D136" s="22">
        <v>1839</v>
      </c>
      <c r="E136" s="136">
        <v>968</v>
      </c>
      <c r="F136" s="198" t="s">
        <v>356</v>
      </c>
      <c r="G136" s="212">
        <v>260</v>
      </c>
      <c r="H136" s="136">
        <v>884</v>
      </c>
      <c r="I136" s="136">
        <v>707</v>
      </c>
      <c r="J136" s="198" t="s">
        <v>356</v>
      </c>
      <c r="K136" s="136">
        <v>223</v>
      </c>
      <c r="L136" s="22">
        <v>585</v>
      </c>
      <c r="M136" s="136">
        <v>318</v>
      </c>
      <c r="N136" s="212">
        <v>162</v>
      </c>
      <c r="O136" s="136">
        <v>52358</v>
      </c>
      <c r="P136" s="136">
        <v>35954</v>
      </c>
      <c r="Q136" s="198" t="s">
        <v>356</v>
      </c>
    </row>
    <row r="137" spans="1:17" s="14" customFormat="1" ht="15.75" thickBot="1" x14ac:dyDescent="0.3">
      <c r="A137" s="221" t="s">
        <v>296</v>
      </c>
      <c r="B137" s="215">
        <v>15</v>
      </c>
      <c r="C137" s="216" t="s">
        <v>321</v>
      </c>
      <c r="D137" s="217">
        <f>AVERAGE(D129:D135)</f>
        <v>1372.2857142857142</v>
      </c>
      <c r="E137" s="218">
        <f t="shared" ref="E137:P137" si="28">AVERAGE(E129:E135)</f>
        <v>1058</v>
      </c>
      <c r="F137" s="219">
        <f t="shared" si="28"/>
        <v>979.16666666666663</v>
      </c>
      <c r="G137" s="220">
        <f t="shared" si="28"/>
        <v>870.83333333333337</v>
      </c>
      <c r="H137" s="218">
        <f t="shared" si="28"/>
        <v>796.28571428571433</v>
      </c>
      <c r="I137" s="218">
        <f t="shared" si="28"/>
        <v>762</v>
      </c>
      <c r="J137" s="219">
        <f t="shared" si="28"/>
        <v>583.5</v>
      </c>
      <c r="K137" s="218">
        <f>AVERAGE(K129:K136)</f>
        <v>497.71428571428572</v>
      </c>
      <c r="L137" s="217">
        <f t="shared" si="28"/>
        <v>390.28571428571428</v>
      </c>
      <c r="M137" s="218">
        <f t="shared" si="28"/>
        <v>367.85714285714283</v>
      </c>
      <c r="N137" s="220">
        <f t="shared" si="28"/>
        <v>318.5</v>
      </c>
      <c r="O137" s="218">
        <f t="shared" si="28"/>
        <v>53632.428571428572</v>
      </c>
      <c r="P137" s="218">
        <f t="shared" si="28"/>
        <v>48899.857142857145</v>
      </c>
      <c r="Q137" s="219">
        <f t="shared" ref="Q137" si="29">AVERAGE(Q129:Q135)</f>
        <v>34854.666666666664</v>
      </c>
    </row>
    <row r="138" spans="1:17" x14ac:dyDescent="0.25">
      <c r="A138" s="20">
        <v>2011</v>
      </c>
      <c r="B138" s="45">
        <v>16</v>
      </c>
      <c r="C138" s="21" t="s">
        <v>50</v>
      </c>
      <c r="D138" s="20">
        <v>904</v>
      </c>
      <c r="E138" s="210">
        <v>713</v>
      </c>
      <c r="F138" s="196">
        <v>809</v>
      </c>
      <c r="G138" s="211">
        <v>886</v>
      </c>
      <c r="H138" s="210">
        <v>148</v>
      </c>
      <c r="I138" s="210">
        <v>173</v>
      </c>
      <c r="J138" s="196">
        <v>130</v>
      </c>
      <c r="K138" s="210">
        <v>135</v>
      </c>
      <c r="L138" s="20">
        <v>89</v>
      </c>
      <c r="M138" s="210">
        <v>132</v>
      </c>
      <c r="N138" s="211">
        <v>86</v>
      </c>
      <c r="O138" s="210">
        <v>17034</v>
      </c>
      <c r="P138" s="210">
        <v>25607</v>
      </c>
      <c r="Q138" s="196">
        <v>10273</v>
      </c>
    </row>
    <row r="139" spans="1:17" x14ac:dyDescent="0.25">
      <c r="A139" s="22">
        <v>2012</v>
      </c>
      <c r="B139" s="214">
        <v>16</v>
      </c>
      <c r="C139" s="87" t="s">
        <v>51</v>
      </c>
      <c r="D139" s="22">
        <v>356</v>
      </c>
      <c r="E139" s="136">
        <v>707</v>
      </c>
      <c r="F139" s="197">
        <v>326</v>
      </c>
      <c r="G139" s="212">
        <v>124</v>
      </c>
      <c r="H139" s="136">
        <v>148</v>
      </c>
      <c r="I139" s="136">
        <v>167</v>
      </c>
      <c r="J139" s="197">
        <v>128</v>
      </c>
      <c r="K139" s="136">
        <v>124</v>
      </c>
      <c r="L139" s="22">
        <v>131</v>
      </c>
      <c r="M139" s="136">
        <v>106</v>
      </c>
      <c r="N139" s="212">
        <v>127</v>
      </c>
      <c r="O139" s="136">
        <v>17196</v>
      </c>
      <c r="P139" s="136">
        <v>16033</v>
      </c>
      <c r="Q139" s="197">
        <v>10540</v>
      </c>
    </row>
    <row r="140" spans="1:17" x14ac:dyDescent="0.25">
      <c r="A140" s="22">
        <v>2013</v>
      </c>
      <c r="B140" s="214">
        <v>16</v>
      </c>
      <c r="C140" s="87" t="s">
        <v>52</v>
      </c>
      <c r="D140" s="22">
        <v>442</v>
      </c>
      <c r="E140" s="136">
        <v>235</v>
      </c>
      <c r="F140" s="197">
        <v>394</v>
      </c>
      <c r="G140" s="212">
        <v>397</v>
      </c>
      <c r="H140" s="136">
        <v>338</v>
      </c>
      <c r="I140" s="136">
        <v>213</v>
      </c>
      <c r="J140" s="197">
        <v>284</v>
      </c>
      <c r="K140" s="136">
        <v>293</v>
      </c>
      <c r="L140" s="22">
        <v>224</v>
      </c>
      <c r="M140" s="136">
        <v>171</v>
      </c>
      <c r="N140" s="212">
        <v>219</v>
      </c>
      <c r="O140" s="136">
        <v>20904</v>
      </c>
      <c r="P140" s="136">
        <v>20043</v>
      </c>
      <c r="Q140" s="197">
        <v>13777</v>
      </c>
    </row>
    <row r="141" spans="1:17" x14ac:dyDescent="0.25">
      <c r="A141" s="22">
        <v>2014</v>
      </c>
      <c r="B141" s="214">
        <v>16</v>
      </c>
      <c r="C141" s="87" t="s">
        <v>53</v>
      </c>
      <c r="D141" s="22">
        <v>305</v>
      </c>
      <c r="E141" s="136">
        <v>421</v>
      </c>
      <c r="F141" s="197">
        <v>261</v>
      </c>
      <c r="G141" s="212">
        <v>278</v>
      </c>
      <c r="H141" s="136">
        <v>227</v>
      </c>
      <c r="I141" s="136">
        <v>293</v>
      </c>
      <c r="J141" s="197">
        <v>177</v>
      </c>
      <c r="K141" s="136">
        <v>192</v>
      </c>
      <c r="L141" s="22">
        <v>156</v>
      </c>
      <c r="M141" s="136">
        <v>182</v>
      </c>
      <c r="N141" s="212">
        <v>154</v>
      </c>
      <c r="O141" s="136">
        <v>22436</v>
      </c>
      <c r="P141" s="136">
        <v>22291</v>
      </c>
      <c r="Q141" s="197">
        <v>14898</v>
      </c>
    </row>
    <row r="142" spans="1:17" x14ac:dyDescent="0.25">
      <c r="A142" s="22">
        <v>2015</v>
      </c>
      <c r="B142" s="214">
        <v>16</v>
      </c>
      <c r="C142" s="87" t="s">
        <v>54</v>
      </c>
      <c r="D142" s="22">
        <v>424</v>
      </c>
      <c r="E142" s="136">
        <v>374</v>
      </c>
      <c r="F142" s="197">
        <v>368</v>
      </c>
      <c r="G142" s="212">
        <v>381</v>
      </c>
      <c r="H142" s="136">
        <v>209</v>
      </c>
      <c r="I142" s="136">
        <v>248</v>
      </c>
      <c r="J142" s="197">
        <v>158</v>
      </c>
      <c r="K142" s="136">
        <v>175</v>
      </c>
      <c r="L142" s="22">
        <v>158</v>
      </c>
      <c r="M142" s="136">
        <v>159</v>
      </c>
      <c r="N142" s="212">
        <v>155</v>
      </c>
      <c r="O142" s="136">
        <v>20383</v>
      </c>
      <c r="P142" s="136">
        <v>20912</v>
      </c>
      <c r="Q142" s="197">
        <v>12807</v>
      </c>
    </row>
    <row r="143" spans="1:17" s="14" customFormat="1" x14ac:dyDescent="0.25">
      <c r="A143" s="22">
        <v>2016</v>
      </c>
      <c r="B143" s="214">
        <v>16</v>
      </c>
      <c r="C143" s="87" t="s">
        <v>177</v>
      </c>
      <c r="D143" s="22">
        <v>510</v>
      </c>
      <c r="E143" s="136">
        <v>391</v>
      </c>
      <c r="F143" s="197">
        <v>394</v>
      </c>
      <c r="G143" s="212"/>
      <c r="H143" s="136">
        <v>191</v>
      </c>
      <c r="I143" s="136">
        <v>174</v>
      </c>
      <c r="J143" s="197">
        <v>112</v>
      </c>
      <c r="K143" s="136"/>
      <c r="L143" s="22">
        <v>167</v>
      </c>
      <c r="M143" s="136">
        <v>159</v>
      </c>
      <c r="N143" s="212"/>
      <c r="O143" s="136">
        <v>17601</v>
      </c>
      <c r="P143" s="136">
        <v>18167</v>
      </c>
      <c r="Q143" s="197">
        <v>11340</v>
      </c>
    </row>
    <row r="144" spans="1:17" s="14" customFormat="1" x14ac:dyDescent="0.25">
      <c r="A144" s="22">
        <v>2017</v>
      </c>
      <c r="B144" s="214">
        <v>16</v>
      </c>
      <c r="C144" s="87" t="s">
        <v>201</v>
      </c>
      <c r="D144" s="22">
        <v>537</v>
      </c>
      <c r="E144" s="136">
        <v>125</v>
      </c>
      <c r="F144" s="198" t="s">
        <v>356</v>
      </c>
      <c r="G144" s="212">
        <v>82</v>
      </c>
      <c r="H144" s="136">
        <v>127</v>
      </c>
      <c r="I144" s="136">
        <v>70</v>
      </c>
      <c r="J144" s="198" t="s">
        <v>356</v>
      </c>
      <c r="K144" s="136">
        <v>59</v>
      </c>
      <c r="L144" s="22">
        <v>69</v>
      </c>
      <c r="M144" s="136">
        <v>16</v>
      </c>
      <c r="N144" s="212">
        <v>16</v>
      </c>
      <c r="O144" s="136">
        <v>15637</v>
      </c>
      <c r="P144" s="136">
        <v>8815</v>
      </c>
      <c r="Q144" s="198" t="s">
        <v>356</v>
      </c>
    </row>
    <row r="145" spans="1:17" x14ac:dyDescent="0.25">
      <c r="A145" s="22">
        <v>20181</v>
      </c>
      <c r="B145" s="214">
        <v>16</v>
      </c>
      <c r="C145" s="87" t="str">
        <f>B145&amp;"_"&amp;A145</f>
        <v>16_20181</v>
      </c>
      <c r="D145" s="22">
        <v>540</v>
      </c>
      <c r="E145" s="136">
        <v>217</v>
      </c>
      <c r="F145" s="198" t="s">
        <v>356</v>
      </c>
      <c r="G145" s="212">
        <v>122</v>
      </c>
      <c r="H145" s="136">
        <v>105</v>
      </c>
      <c r="I145" s="136">
        <v>103</v>
      </c>
      <c r="J145" s="198" t="s">
        <v>356</v>
      </c>
      <c r="K145" s="136">
        <v>87</v>
      </c>
      <c r="L145" s="22">
        <v>110</v>
      </c>
      <c r="M145" s="136">
        <v>44</v>
      </c>
      <c r="N145" s="212">
        <v>44</v>
      </c>
      <c r="O145" s="136">
        <v>15352</v>
      </c>
      <c r="P145" s="136">
        <v>11959</v>
      </c>
      <c r="Q145" s="198" t="s">
        <v>356</v>
      </c>
    </row>
    <row r="146" spans="1:17" s="14" customFormat="1" ht="15.75" thickBot="1" x14ac:dyDescent="0.3">
      <c r="A146" s="221" t="s">
        <v>296</v>
      </c>
      <c r="B146" s="215">
        <v>16</v>
      </c>
      <c r="C146" s="216" t="s">
        <v>306</v>
      </c>
      <c r="D146" s="217">
        <f>AVERAGE(D138:D144)</f>
        <v>496.85714285714283</v>
      </c>
      <c r="E146" s="218">
        <f t="shared" ref="E146:P146" si="30">AVERAGE(E138:E144)</f>
        <v>423.71428571428572</v>
      </c>
      <c r="F146" s="219">
        <f t="shared" si="30"/>
        <v>425.33333333333331</v>
      </c>
      <c r="G146" s="220">
        <f t="shared" si="30"/>
        <v>358</v>
      </c>
      <c r="H146" s="218">
        <f t="shared" si="30"/>
        <v>198.28571428571428</v>
      </c>
      <c r="I146" s="218">
        <f t="shared" si="30"/>
        <v>191.14285714285714</v>
      </c>
      <c r="J146" s="219">
        <f t="shared" si="30"/>
        <v>164.83333333333334</v>
      </c>
      <c r="K146" s="218">
        <f>AVERAGE(K138:K145)</f>
        <v>152.14285714285714</v>
      </c>
      <c r="L146" s="217">
        <f t="shared" si="30"/>
        <v>142</v>
      </c>
      <c r="M146" s="218">
        <f t="shared" si="30"/>
        <v>132.14285714285714</v>
      </c>
      <c r="N146" s="220">
        <f t="shared" si="30"/>
        <v>126.16666666666667</v>
      </c>
      <c r="O146" s="218">
        <f t="shared" si="30"/>
        <v>18741.571428571428</v>
      </c>
      <c r="P146" s="218">
        <f t="shared" si="30"/>
        <v>18838.285714285714</v>
      </c>
      <c r="Q146" s="219">
        <f t="shared" ref="Q146" si="31">AVERAGE(Q138:Q144)</f>
        <v>12272.5</v>
      </c>
    </row>
    <row r="147" spans="1:17" x14ac:dyDescent="0.25">
      <c r="A147" s="20">
        <v>2011</v>
      </c>
      <c r="B147" s="45">
        <v>17</v>
      </c>
      <c r="C147" s="21" t="s">
        <v>55</v>
      </c>
      <c r="D147" s="20">
        <v>317</v>
      </c>
      <c r="E147" s="210">
        <v>201</v>
      </c>
      <c r="F147" s="196">
        <v>279</v>
      </c>
      <c r="G147" s="211">
        <v>290</v>
      </c>
      <c r="H147" s="210">
        <v>170</v>
      </c>
      <c r="I147" s="210">
        <v>116</v>
      </c>
      <c r="J147" s="196">
        <v>139</v>
      </c>
      <c r="K147" s="210">
        <v>131</v>
      </c>
      <c r="L147" s="20">
        <v>227</v>
      </c>
      <c r="M147" s="210">
        <v>206</v>
      </c>
      <c r="N147" s="211">
        <v>226</v>
      </c>
      <c r="O147" s="210">
        <v>37259</v>
      </c>
      <c r="P147" s="210">
        <v>38749</v>
      </c>
      <c r="Q147" s="196">
        <v>24593</v>
      </c>
    </row>
    <row r="148" spans="1:17" x14ac:dyDescent="0.25">
      <c r="A148" s="22">
        <v>2012</v>
      </c>
      <c r="B148" s="214">
        <v>17</v>
      </c>
      <c r="C148" s="87" t="s">
        <v>56</v>
      </c>
      <c r="D148" s="22">
        <v>490</v>
      </c>
      <c r="E148" s="136">
        <v>318</v>
      </c>
      <c r="F148" s="197">
        <v>432</v>
      </c>
      <c r="G148" s="212">
        <v>475</v>
      </c>
      <c r="H148" s="136">
        <v>315</v>
      </c>
      <c r="I148" s="136">
        <v>217</v>
      </c>
      <c r="J148" s="197">
        <v>263</v>
      </c>
      <c r="K148" s="136">
        <v>251</v>
      </c>
      <c r="L148" s="22">
        <v>227</v>
      </c>
      <c r="M148" s="136">
        <v>222</v>
      </c>
      <c r="N148" s="212">
        <v>227</v>
      </c>
      <c r="O148" s="136">
        <v>25408</v>
      </c>
      <c r="P148" s="136">
        <v>19816</v>
      </c>
      <c r="Q148" s="197">
        <v>14053</v>
      </c>
    </row>
    <row r="149" spans="1:17" x14ac:dyDescent="0.25">
      <c r="A149" s="22">
        <v>2013</v>
      </c>
      <c r="B149" s="214">
        <v>17</v>
      </c>
      <c r="C149" s="87" t="s">
        <v>57</v>
      </c>
      <c r="D149" s="22">
        <v>429</v>
      </c>
      <c r="E149" s="136">
        <v>513</v>
      </c>
      <c r="F149" s="197">
        <v>368</v>
      </c>
      <c r="G149" s="212">
        <v>438</v>
      </c>
      <c r="H149" s="136">
        <v>218</v>
      </c>
      <c r="I149" s="136">
        <v>300</v>
      </c>
      <c r="J149" s="197">
        <v>180</v>
      </c>
      <c r="K149" s="136">
        <v>167</v>
      </c>
      <c r="L149" s="22">
        <v>217</v>
      </c>
      <c r="M149" s="136">
        <v>214</v>
      </c>
      <c r="N149" s="212">
        <v>205</v>
      </c>
      <c r="O149" s="136">
        <v>24217</v>
      </c>
      <c r="P149" s="136">
        <v>25659</v>
      </c>
      <c r="Q149" s="197">
        <v>14963</v>
      </c>
    </row>
    <row r="150" spans="1:17" x14ac:dyDescent="0.25">
      <c r="A150" s="22">
        <v>2014</v>
      </c>
      <c r="B150" s="214">
        <v>17</v>
      </c>
      <c r="C150" s="87" t="s">
        <v>58</v>
      </c>
      <c r="D150" s="22">
        <v>915</v>
      </c>
      <c r="E150" s="136">
        <v>676</v>
      </c>
      <c r="F150" s="197">
        <v>667</v>
      </c>
      <c r="G150" s="212">
        <v>689</v>
      </c>
      <c r="H150" s="136">
        <v>503</v>
      </c>
      <c r="I150" s="136">
        <v>265</v>
      </c>
      <c r="J150" s="197">
        <v>335</v>
      </c>
      <c r="K150" s="136">
        <v>365</v>
      </c>
      <c r="L150" s="22">
        <v>245</v>
      </c>
      <c r="M150" s="136">
        <v>245</v>
      </c>
      <c r="N150" s="212">
        <v>229</v>
      </c>
      <c r="O150" s="136">
        <v>20840</v>
      </c>
      <c r="P150" s="136">
        <v>24038</v>
      </c>
      <c r="Q150" s="197">
        <v>13404</v>
      </c>
    </row>
    <row r="151" spans="1:17" x14ac:dyDescent="0.25">
      <c r="A151" s="22">
        <v>2015</v>
      </c>
      <c r="B151" s="214">
        <v>17</v>
      </c>
      <c r="C151" s="87" t="s">
        <v>59</v>
      </c>
      <c r="D151" s="22">
        <v>682</v>
      </c>
      <c r="E151" s="136">
        <v>757</v>
      </c>
      <c r="F151" s="197">
        <v>517</v>
      </c>
      <c r="G151" s="212">
        <v>520</v>
      </c>
      <c r="H151" s="136">
        <v>244</v>
      </c>
      <c r="I151" s="136">
        <v>463</v>
      </c>
      <c r="J151" s="197">
        <v>179</v>
      </c>
      <c r="K151" s="136">
        <v>162</v>
      </c>
      <c r="L151" s="22">
        <v>353</v>
      </c>
      <c r="M151" s="136">
        <v>238</v>
      </c>
      <c r="N151" s="212">
        <v>341</v>
      </c>
      <c r="O151" s="136">
        <v>16285</v>
      </c>
      <c r="P151" s="136">
        <v>16934</v>
      </c>
      <c r="Q151" s="197">
        <v>10942</v>
      </c>
    </row>
    <row r="152" spans="1:17" s="14" customFormat="1" x14ac:dyDescent="0.25">
      <c r="A152" s="22">
        <v>2016</v>
      </c>
      <c r="B152" s="214">
        <v>17</v>
      </c>
      <c r="C152" s="87" t="s">
        <v>178</v>
      </c>
      <c r="D152" s="22">
        <v>710</v>
      </c>
      <c r="E152" s="136">
        <v>664</v>
      </c>
      <c r="F152" s="197">
        <v>363</v>
      </c>
      <c r="G152" s="212"/>
      <c r="H152" s="136">
        <v>163</v>
      </c>
      <c r="I152" s="136">
        <v>208</v>
      </c>
      <c r="J152" s="197">
        <v>76</v>
      </c>
      <c r="K152" s="136"/>
      <c r="L152" s="22">
        <v>446</v>
      </c>
      <c r="M152" s="136">
        <v>347</v>
      </c>
      <c r="N152" s="212"/>
      <c r="O152" s="136">
        <v>16400</v>
      </c>
      <c r="P152" s="136">
        <v>17805</v>
      </c>
      <c r="Q152" s="197">
        <v>10764</v>
      </c>
    </row>
    <row r="153" spans="1:17" s="14" customFormat="1" x14ac:dyDescent="0.25">
      <c r="A153" s="22">
        <v>2017</v>
      </c>
      <c r="B153" s="214">
        <v>17</v>
      </c>
      <c r="C153" s="87" t="s">
        <v>202</v>
      </c>
      <c r="D153" s="22">
        <v>280</v>
      </c>
      <c r="E153" s="136">
        <v>158</v>
      </c>
      <c r="F153" s="198" t="s">
        <v>356</v>
      </c>
      <c r="G153" s="212">
        <v>89</v>
      </c>
      <c r="H153" s="136">
        <v>46</v>
      </c>
      <c r="I153" s="136">
        <v>25</v>
      </c>
      <c r="J153" s="198" t="s">
        <v>356</v>
      </c>
      <c r="K153" s="136">
        <v>12</v>
      </c>
      <c r="L153" s="22">
        <v>274</v>
      </c>
      <c r="M153" s="136">
        <v>128</v>
      </c>
      <c r="N153" s="212">
        <v>126</v>
      </c>
      <c r="O153" s="136">
        <v>10703</v>
      </c>
      <c r="P153" s="136">
        <v>5347</v>
      </c>
      <c r="Q153" s="198" t="s">
        <v>356</v>
      </c>
    </row>
    <row r="154" spans="1:17" x14ac:dyDescent="0.25">
      <c r="A154" s="22">
        <v>20181</v>
      </c>
      <c r="B154" s="214">
        <v>17</v>
      </c>
      <c r="C154" s="87" t="str">
        <f>B154&amp;"_"&amp;A154</f>
        <v>17_20181</v>
      </c>
      <c r="D154" s="22">
        <v>286</v>
      </c>
      <c r="E154" s="136">
        <v>210</v>
      </c>
      <c r="F154" s="198" t="s">
        <v>356</v>
      </c>
      <c r="G154" s="212">
        <v>118</v>
      </c>
      <c r="H154" s="136">
        <v>42</v>
      </c>
      <c r="I154" s="136">
        <v>35</v>
      </c>
      <c r="J154" s="198" t="s">
        <v>356</v>
      </c>
      <c r="K154" s="136">
        <v>19</v>
      </c>
      <c r="L154" s="22">
        <v>248</v>
      </c>
      <c r="M154" s="136">
        <v>183</v>
      </c>
      <c r="N154" s="212">
        <v>181</v>
      </c>
      <c r="O154" s="136">
        <v>10521</v>
      </c>
      <c r="P154" s="136">
        <v>7738</v>
      </c>
      <c r="Q154" s="198" t="s">
        <v>356</v>
      </c>
    </row>
    <row r="155" spans="1:17" s="14" customFormat="1" ht="15.75" thickBot="1" x14ac:dyDescent="0.3">
      <c r="A155" s="221" t="s">
        <v>296</v>
      </c>
      <c r="B155" s="215">
        <v>17</v>
      </c>
      <c r="C155" s="216" t="s">
        <v>305</v>
      </c>
      <c r="D155" s="217">
        <f>AVERAGE(D147:D153)</f>
        <v>546.14285714285711</v>
      </c>
      <c r="E155" s="218">
        <f t="shared" ref="E155:P155" si="32">AVERAGE(E147:E153)</f>
        <v>469.57142857142856</v>
      </c>
      <c r="F155" s="219">
        <f t="shared" si="32"/>
        <v>437.66666666666669</v>
      </c>
      <c r="G155" s="220">
        <f t="shared" si="32"/>
        <v>416.83333333333331</v>
      </c>
      <c r="H155" s="218">
        <f t="shared" si="32"/>
        <v>237</v>
      </c>
      <c r="I155" s="218">
        <f t="shared" si="32"/>
        <v>227.71428571428572</v>
      </c>
      <c r="J155" s="219">
        <f t="shared" si="32"/>
        <v>195.33333333333334</v>
      </c>
      <c r="K155" s="218">
        <f>AVERAGE(K147:K154)</f>
        <v>158.14285714285714</v>
      </c>
      <c r="L155" s="217">
        <f t="shared" si="32"/>
        <v>284.14285714285717</v>
      </c>
      <c r="M155" s="218">
        <f t="shared" si="32"/>
        <v>228.57142857142858</v>
      </c>
      <c r="N155" s="220">
        <f t="shared" si="32"/>
        <v>225.66666666666666</v>
      </c>
      <c r="O155" s="218">
        <f t="shared" si="32"/>
        <v>21587.428571428572</v>
      </c>
      <c r="P155" s="218">
        <f t="shared" si="32"/>
        <v>21192.571428571428</v>
      </c>
      <c r="Q155" s="219">
        <f t="shared" ref="Q155" si="33">AVERAGE(Q147:Q153)</f>
        <v>14786.5</v>
      </c>
    </row>
    <row r="156" spans="1:17" x14ac:dyDescent="0.25">
      <c r="A156" s="20">
        <v>2011</v>
      </c>
      <c r="B156" s="45">
        <v>18</v>
      </c>
      <c r="C156" s="21" t="s">
        <v>60</v>
      </c>
      <c r="D156" s="20">
        <v>645</v>
      </c>
      <c r="E156" s="210">
        <v>809</v>
      </c>
      <c r="F156" s="196">
        <v>593</v>
      </c>
      <c r="G156" s="211">
        <v>601</v>
      </c>
      <c r="H156" s="210">
        <v>179</v>
      </c>
      <c r="I156" s="210">
        <v>141</v>
      </c>
      <c r="J156" s="196">
        <v>144</v>
      </c>
      <c r="K156" s="210">
        <v>137</v>
      </c>
      <c r="L156" s="20">
        <v>147</v>
      </c>
      <c r="M156" s="210">
        <v>68</v>
      </c>
      <c r="N156" s="211">
        <v>147</v>
      </c>
      <c r="O156" s="210">
        <v>29105</v>
      </c>
      <c r="P156" s="210">
        <v>29438</v>
      </c>
      <c r="Q156" s="196">
        <v>16726</v>
      </c>
    </row>
    <row r="157" spans="1:17" x14ac:dyDescent="0.25">
      <c r="A157" s="22">
        <v>2012</v>
      </c>
      <c r="B157" s="214">
        <v>18</v>
      </c>
      <c r="C157" s="87" t="s">
        <v>61</v>
      </c>
      <c r="D157" s="22">
        <v>486</v>
      </c>
      <c r="E157" s="136">
        <v>558</v>
      </c>
      <c r="F157" s="197">
        <v>139</v>
      </c>
      <c r="G157" s="212">
        <v>421</v>
      </c>
      <c r="H157" s="136">
        <v>202</v>
      </c>
      <c r="I157" s="136">
        <v>181</v>
      </c>
      <c r="J157" s="197">
        <v>175</v>
      </c>
      <c r="K157" s="136">
        <v>175</v>
      </c>
      <c r="L157" s="22">
        <v>82</v>
      </c>
      <c r="M157" s="136">
        <v>143</v>
      </c>
      <c r="N157" s="212">
        <v>81</v>
      </c>
      <c r="O157" s="136">
        <v>16689</v>
      </c>
      <c r="P157" s="136">
        <v>16895</v>
      </c>
      <c r="Q157" s="197">
        <v>9400</v>
      </c>
    </row>
    <row r="158" spans="1:17" x14ac:dyDescent="0.25">
      <c r="A158" s="22">
        <v>2013</v>
      </c>
      <c r="B158" s="214">
        <v>18</v>
      </c>
      <c r="C158" s="87" t="s">
        <v>62</v>
      </c>
      <c r="D158" s="22">
        <v>210</v>
      </c>
      <c r="E158" s="136">
        <v>410</v>
      </c>
      <c r="F158" s="197">
        <v>186</v>
      </c>
      <c r="G158" s="212">
        <v>230</v>
      </c>
      <c r="H158" s="136">
        <v>182</v>
      </c>
      <c r="I158" s="136">
        <v>177</v>
      </c>
      <c r="J158" s="197">
        <v>149</v>
      </c>
      <c r="K158" s="136">
        <v>160</v>
      </c>
      <c r="L158" s="22">
        <v>115</v>
      </c>
      <c r="M158" s="136">
        <v>85</v>
      </c>
      <c r="N158" s="212">
        <v>113</v>
      </c>
      <c r="O158" s="136">
        <v>29950</v>
      </c>
      <c r="P158" s="136">
        <v>24800</v>
      </c>
      <c r="Q158" s="197">
        <v>17830</v>
      </c>
    </row>
    <row r="159" spans="1:17" x14ac:dyDescent="0.25">
      <c r="A159" s="22">
        <v>2014</v>
      </c>
      <c r="B159" s="214">
        <v>18</v>
      </c>
      <c r="C159" s="87" t="s">
        <v>63</v>
      </c>
      <c r="D159" s="22">
        <v>323</v>
      </c>
      <c r="E159" s="136">
        <v>236</v>
      </c>
      <c r="F159" s="197">
        <v>283</v>
      </c>
      <c r="G159" s="212">
        <v>294</v>
      </c>
      <c r="H159" s="136">
        <v>136</v>
      </c>
      <c r="I159" s="136">
        <v>159</v>
      </c>
      <c r="J159" s="197">
        <v>106</v>
      </c>
      <c r="K159" s="136">
        <v>98</v>
      </c>
      <c r="L159" s="22">
        <v>114</v>
      </c>
      <c r="M159" s="136">
        <v>129</v>
      </c>
      <c r="N159" s="212">
        <v>113</v>
      </c>
      <c r="O159" s="136">
        <v>29124</v>
      </c>
      <c r="P159" s="136">
        <v>32693</v>
      </c>
      <c r="Q159" s="197">
        <v>19075</v>
      </c>
    </row>
    <row r="160" spans="1:17" x14ac:dyDescent="0.25">
      <c r="A160" s="22">
        <v>2015</v>
      </c>
      <c r="B160" s="214">
        <v>18</v>
      </c>
      <c r="C160" s="87" t="s">
        <v>64</v>
      </c>
      <c r="D160" s="22">
        <v>351</v>
      </c>
      <c r="E160" s="136">
        <v>347</v>
      </c>
      <c r="F160" s="197">
        <v>313</v>
      </c>
      <c r="G160" s="212">
        <v>393</v>
      </c>
      <c r="H160" s="136">
        <v>65</v>
      </c>
      <c r="I160" s="136">
        <v>109</v>
      </c>
      <c r="J160" s="197">
        <v>50</v>
      </c>
      <c r="K160" s="136">
        <v>56</v>
      </c>
      <c r="L160" s="22">
        <v>61</v>
      </c>
      <c r="M160" s="136">
        <v>110</v>
      </c>
      <c r="N160" s="212">
        <v>59</v>
      </c>
      <c r="O160" s="136">
        <v>19247</v>
      </c>
      <c r="P160" s="136">
        <v>20968</v>
      </c>
      <c r="Q160" s="197">
        <v>13237</v>
      </c>
    </row>
    <row r="161" spans="1:17" s="14" customFormat="1" x14ac:dyDescent="0.25">
      <c r="A161" s="22">
        <v>2016</v>
      </c>
      <c r="B161" s="214">
        <v>18</v>
      </c>
      <c r="C161" s="87" t="s">
        <v>179</v>
      </c>
      <c r="D161" s="22">
        <v>401</v>
      </c>
      <c r="E161" s="136">
        <v>404</v>
      </c>
      <c r="F161" s="197">
        <v>324</v>
      </c>
      <c r="G161" s="212"/>
      <c r="H161" s="136">
        <v>51</v>
      </c>
      <c r="I161" s="136">
        <v>61</v>
      </c>
      <c r="J161" s="197">
        <v>35</v>
      </c>
      <c r="K161" s="136"/>
      <c r="L161" s="22">
        <v>42</v>
      </c>
      <c r="M161" s="136">
        <v>64</v>
      </c>
      <c r="N161" s="212"/>
      <c r="O161" s="136">
        <v>17176</v>
      </c>
      <c r="P161" s="136">
        <v>18220</v>
      </c>
      <c r="Q161" s="197">
        <v>11410</v>
      </c>
    </row>
    <row r="162" spans="1:17" s="14" customFormat="1" x14ac:dyDescent="0.25">
      <c r="A162" s="22">
        <v>2017</v>
      </c>
      <c r="B162" s="214">
        <v>18</v>
      </c>
      <c r="C162" s="87" t="s">
        <v>203</v>
      </c>
      <c r="D162" s="22">
        <v>275</v>
      </c>
      <c r="E162" s="136">
        <v>122</v>
      </c>
      <c r="F162" s="198" t="s">
        <v>356</v>
      </c>
      <c r="G162" s="212">
        <v>98</v>
      </c>
      <c r="H162" s="136">
        <v>22</v>
      </c>
      <c r="I162" s="136">
        <v>8</v>
      </c>
      <c r="J162" s="198" t="s">
        <v>356</v>
      </c>
      <c r="K162" s="136">
        <v>3</v>
      </c>
      <c r="L162" s="22">
        <v>114</v>
      </c>
      <c r="M162" s="136">
        <v>80</v>
      </c>
      <c r="N162" s="212">
        <v>89</v>
      </c>
      <c r="O162" s="136">
        <v>16546</v>
      </c>
      <c r="P162" s="136">
        <v>8178</v>
      </c>
      <c r="Q162" s="198" t="s">
        <v>356</v>
      </c>
    </row>
    <row r="163" spans="1:17" x14ac:dyDescent="0.25">
      <c r="A163" s="22">
        <v>20181</v>
      </c>
      <c r="B163" s="214">
        <v>18</v>
      </c>
      <c r="C163" s="87" t="str">
        <f>B163&amp;"_"&amp;A163</f>
        <v>18_20181</v>
      </c>
      <c r="D163" s="22">
        <v>256</v>
      </c>
      <c r="E163" s="136">
        <v>182</v>
      </c>
      <c r="F163" s="198" t="s">
        <v>356</v>
      </c>
      <c r="G163" s="212">
        <v>123</v>
      </c>
      <c r="H163" s="136">
        <v>20</v>
      </c>
      <c r="I163" s="136">
        <v>11</v>
      </c>
      <c r="J163" s="198" t="s">
        <v>356</v>
      </c>
      <c r="K163" s="136">
        <v>6</v>
      </c>
      <c r="L163" s="22">
        <v>85</v>
      </c>
      <c r="M163" s="136">
        <v>115</v>
      </c>
      <c r="N163" s="212">
        <v>97</v>
      </c>
      <c r="O163" s="136">
        <v>15812</v>
      </c>
      <c r="P163" s="136">
        <v>12223</v>
      </c>
      <c r="Q163" s="198" t="s">
        <v>356</v>
      </c>
    </row>
    <row r="164" spans="1:17" s="14" customFormat="1" ht="15.75" thickBot="1" x14ac:dyDescent="0.3">
      <c r="A164" s="221" t="s">
        <v>296</v>
      </c>
      <c r="B164" s="215">
        <v>18</v>
      </c>
      <c r="C164" s="216" t="s">
        <v>304</v>
      </c>
      <c r="D164" s="217">
        <f>AVERAGE(D156:D162)</f>
        <v>384.42857142857144</v>
      </c>
      <c r="E164" s="218">
        <f t="shared" ref="E164:P164" si="34">AVERAGE(E156:E162)</f>
        <v>412.28571428571428</v>
      </c>
      <c r="F164" s="219">
        <f t="shared" si="34"/>
        <v>306.33333333333331</v>
      </c>
      <c r="G164" s="220">
        <f t="shared" si="34"/>
        <v>339.5</v>
      </c>
      <c r="H164" s="218">
        <f t="shared" si="34"/>
        <v>119.57142857142857</v>
      </c>
      <c r="I164" s="218">
        <f t="shared" si="34"/>
        <v>119.42857142857143</v>
      </c>
      <c r="J164" s="219">
        <f t="shared" si="34"/>
        <v>109.83333333333333</v>
      </c>
      <c r="K164" s="218">
        <f>AVERAGE(K156:K163)</f>
        <v>90.714285714285708</v>
      </c>
      <c r="L164" s="217">
        <f t="shared" si="34"/>
        <v>96.428571428571431</v>
      </c>
      <c r="M164" s="218">
        <f t="shared" si="34"/>
        <v>97</v>
      </c>
      <c r="N164" s="220">
        <f t="shared" si="34"/>
        <v>100.33333333333333</v>
      </c>
      <c r="O164" s="218">
        <f t="shared" si="34"/>
        <v>22548.142857142859</v>
      </c>
      <c r="P164" s="218">
        <f t="shared" si="34"/>
        <v>21598.857142857141</v>
      </c>
      <c r="Q164" s="219">
        <f t="shared" ref="Q164" si="35">AVERAGE(Q156:Q162)</f>
        <v>14613</v>
      </c>
    </row>
    <row r="165" spans="1:17" x14ac:dyDescent="0.25">
      <c r="A165" s="20">
        <v>2011</v>
      </c>
      <c r="B165" s="45">
        <v>19</v>
      </c>
      <c r="C165" s="21" t="s">
        <v>65</v>
      </c>
      <c r="D165" s="20">
        <v>213</v>
      </c>
      <c r="E165" s="210">
        <v>160</v>
      </c>
      <c r="F165" s="196">
        <v>174</v>
      </c>
      <c r="G165" s="211">
        <v>195</v>
      </c>
      <c r="H165" s="210">
        <v>9</v>
      </c>
      <c r="I165" s="210">
        <v>5</v>
      </c>
      <c r="J165" s="196">
        <v>8</v>
      </c>
      <c r="K165" s="210">
        <v>13</v>
      </c>
      <c r="L165" s="20">
        <v>77</v>
      </c>
      <c r="M165" s="210">
        <v>65</v>
      </c>
      <c r="N165" s="211">
        <v>77</v>
      </c>
      <c r="O165" s="210">
        <v>10686</v>
      </c>
      <c r="P165" s="210">
        <v>10500</v>
      </c>
      <c r="Q165" s="196">
        <v>6326</v>
      </c>
    </row>
    <row r="166" spans="1:17" x14ac:dyDescent="0.25">
      <c r="A166" s="22">
        <v>2012</v>
      </c>
      <c r="B166" s="214">
        <v>19</v>
      </c>
      <c r="C166" s="87" t="s">
        <v>66</v>
      </c>
      <c r="D166" s="22">
        <v>110</v>
      </c>
      <c r="E166" s="136">
        <v>170</v>
      </c>
      <c r="F166" s="197">
        <v>94</v>
      </c>
      <c r="G166" s="212">
        <v>68</v>
      </c>
      <c r="H166" s="136">
        <v>18</v>
      </c>
      <c r="I166" s="136">
        <v>20</v>
      </c>
      <c r="J166" s="197">
        <v>16</v>
      </c>
      <c r="K166" s="136">
        <v>19</v>
      </c>
      <c r="L166" s="22">
        <v>52</v>
      </c>
      <c r="M166" s="136">
        <v>66</v>
      </c>
      <c r="N166" s="212">
        <v>52</v>
      </c>
      <c r="O166" s="136">
        <v>6038</v>
      </c>
      <c r="P166" s="136">
        <v>5969</v>
      </c>
      <c r="Q166" s="197">
        <v>3489</v>
      </c>
    </row>
    <row r="167" spans="1:17" x14ac:dyDescent="0.25">
      <c r="A167" s="22">
        <v>2013</v>
      </c>
      <c r="B167" s="214">
        <v>19</v>
      </c>
      <c r="C167" s="87" t="s">
        <v>67</v>
      </c>
      <c r="D167" s="22">
        <v>103</v>
      </c>
      <c r="E167" s="136">
        <v>101</v>
      </c>
      <c r="F167" s="197">
        <v>90</v>
      </c>
      <c r="G167" s="212">
        <v>72</v>
      </c>
      <c r="H167" s="136">
        <v>25</v>
      </c>
      <c r="I167" s="136">
        <v>26</v>
      </c>
      <c r="J167" s="197">
        <v>22</v>
      </c>
      <c r="K167" s="136">
        <v>20</v>
      </c>
      <c r="L167" s="22">
        <v>83</v>
      </c>
      <c r="M167" s="136">
        <v>61</v>
      </c>
      <c r="N167" s="212">
        <v>83</v>
      </c>
      <c r="O167" s="136">
        <v>6117</v>
      </c>
      <c r="P167" s="136">
        <v>6265</v>
      </c>
      <c r="Q167" s="197">
        <v>3935</v>
      </c>
    </row>
    <row r="168" spans="1:17" x14ac:dyDescent="0.25">
      <c r="A168" s="22">
        <v>2014</v>
      </c>
      <c r="B168" s="214">
        <v>19</v>
      </c>
      <c r="C168" s="87" t="s">
        <v>68</v>
      </c>
      <c r="D168" s="22">
        <v>75</v>
      </c>
      <c r="E168" s="136">
        <v>85</v>
      </c>
      <c r="F168" s="197">
        <v>70</v>
      </c>
      <c r="G168" s="212">
        <v>70</v>
      </c>
      <c r="H168" s="136">
        <v>15</v>
      </c>
      <c r="I168" s="136">
        <v>15</v>
      </c>
      <c r="J168" s="197">
        <v>10</v>
      </c>
      <c r="K168" s="136">
        <v>6</v>
      </c>
      <c r="L168" s="22">
        <v>128</v>
      </c>
      <c r="M168" s="136">
        <v>107</v>
      </c>
      <c r="N168" s="212">
        <v>128</v>
      </c>
      <c r="O168" s="136">
        <v>6047</v>
      </c>
      <c r="P168" s="136">
        <v>6090</v>
      </c>
      <c r="Q168" s="197">
        <v>4112</v>
      </c>
    </row>
    <row r="169" spans="1:17" x14ac:dyDescent="0.25">
      <c r="A169" s="22">
        <v>2015</v>
      </c>
      <c r="B169" s="214">
        <v>19</v>
      </c>
      <c r="C169" s="87" t="s">
        <v>69</v>
      </c>
      <c r="D169" s="22">
        <v>179</v>
      </c>
      <c r="E169" s="136">
        <v>107</v>
      </c>
      <c r="F169" s="197">
        <v>166</v>
      </c>
      <c r="G169" s="212">
        <v>159</v>
      </c>
      <c r="H169" s="136">
        <v>13</v>
      </c>
      <c r="I169" s="136">
        <v>14</v>
      </c>
      <c r="J169" s="197">
        <v>10</v>
      </c>
      <c r="K169" s="136">
        <v>11</v>
      </c>
      <c r="L169" s="22">
        <v>130</v>
      </c>
      <c r="M169" s="136">
        <v>160</v>
      </c>
      <c r="N169" s="212">
        <v>130</v>
      </c>
      <c r="O169" s="136">
        <v>5016</v>
      </c>
      <c r="P169" s="136">
        <v>5249</v>
      </c>
      <c r="Q169" s="197">
        <v>3550</v>
      </c>
    </row>
    <row r="170" spans="1:17" s="14" customFormat="1" x14ac:dyDescent="0.25">
      <c r="A170" s="22">
        <v>2016</v>
      </c>
      <c r="B170" s="214">
        <v>19</v>
      </c>
      <c r="C170" s="87" t="s">
        <v>180</v>
      </c>
      <c r="D170" s="22">
        <v>100</v>
      </c>
      <c r="E170" s="136">
        <v>164</v>
      </c>
      <c r="F170" s="197">
        <v>87</v>
      </c>
      <c r="G170" s="212"/>
      <c r="H170" s="136">
        <v>6</v>
      </c>
      <c r="I170" s="136">
        <v>10</v>
      </c>
      <c r="J170" s="197">
        <v>3</v>
      </c>
      <c r="K170" s="136"/>
      <c r="L170" s="22">
        <v>95</v>
      </c>
      <c r="M170" s="136">
        <v>123</v>
      </c>
      <c r="N170" s="212"/>
      <c r="O170" s="136">
        <v>5065</v>
      </c>
      <c r="P170" s="136">
        <v>4938</v>
      </c>
      <c r="Q170" s="197">
        <v>3378</v>
      </c>
    </row>
    <row r="171" spans="1:17" s="14" customFormat="1" x14ac:dyDescent="0.25">
      <c r="A171" s="22">
        <v>2017</v>
      </c>
      <c r="B171" s="214">
        <v>19</v>
      </c>
      <c r="C171" s="87" t="s">
        <v>204</v>
      </c>
      <c r="D171" s="22">
        <v>50</v>
      </c>
      <c r="E171" s="136">
        <v>42</v>
      </c>
      <c r="F171" s="198" t="s">
        <v>356</v>
      </c>
      <c r="G171" s="212">
        <v>8</v>
      </c>
      <c r="H171" s="136"/>
      <c r="I171" s="136">
        <v>0</v>
      </c>
      <c r="J171" s="198" t="s">
        <v>356</v>
      </c>
      <c r="K171" s="136">
        <v>0</v>
      </c>
      <c r="L171" s="22">
        <v>36</v>
      </c>
      <c r="M171" s="136">
        <v>25</v>
      </c>
      <c r="N171" s="212">
        <v>25</v>
      </c>
      <c r="O171" s="136">
        <v>4543</v>
      </c>
      <c r="P171" s="136">
        <v>2380</v>
      </c>
      <c r="Q171" s="198" t="s">
        <v>356</v>
      </c>
    </row>
    <row r="172" spans="1:17" x14ac:dyDescent="0.25">
      <c r="A172" s="22">
        <v>20181</v>
      </c>
      <c r="B172" s="214">
        <v>19</v>
      </c>
      <c r="C172" s="87" t="str">
        <f>B172&amp;"_"&amp;A172</f>
        <v>19_20181</v>
      </c>
      <c r="D172" s="22">
        <v>47</v>
      </c>
      <c r="E172" s="136">
        <v>47</v>
      </c>
      <c r="F172" s="198" t="s">
        <v>356</v>
      </c>
      <c r="G172" s="212">
        <v>11</v>
      </c>
      <c r="H172" s="136">
        <v>0</v>
      </c>
      <c r="I172" s="136">
        <v>0</v>
      </c>
      <c r="J172" s="198" t="s">
        <v>356</v>
      </c>
      <c r="K172" s="136">
        <v>0</v>
      </c>
      <c r="L172" s="22">
        <v>29</v>
      </c>
      <c r="M172" s="136">
        <v>27</v>
      </c>
      <c r="N172" s="212">
        <v>27</v>
      </c>
      <c r="O172" s="136">
        <v>4312</v>
      </c>
      <c r="P172" s="136">
        <v>3213</v>
      </c>
      <c r="Q172" s="198" t="s">
        <v>356</v>
      </c>
    </row>
    <row r="173" spans="1:17" s="14" customFormat="1" ht="15.75" thickBot="1" x14ac:dyDescent="0.3">
      <c r="A173" s="221" t="s">
        <v>296</v>
      </c>
      <c r="B173" s="215">
        <v>19</v>
      </c>
      <c r="C173" s="216" t="s">
        <v>303</v>
      </c>
      <c r="D173" s="217">
        <f>AVERAGE(D165:D171)</f>
        <v>118.57142857142857</v>
      </c>
      <c r="E173" s="218">
        <f t="shared" ref="E173:P173" si="36">AVERAGE(E165:E171)</f>
        <v>118.42857142857143</v>
      </c>
      <c r="F173" s="219">
        <f t="shared" si="36"/>
        <v>113.5</v>
      </c>
      <c r="G173" s="220">
        <f t="shared" si="36"/>
        <v>95.333333333333329</v>
      </c>
      <c r="H173" s="218">
        <f t="shared" si="36"/>
        <v>14.333333333333334</v>
      </c>
      <c r="I173" s="218">
        <f t="shared" si="36"/>
        <v>12.857142857142858</v>
      </c>
      <c r="J173" s="219">
        <f t="shared" si="36"/>
        <v>11.5</v>
      </c>
      <c r="K173" s="218">
        <f>AVERAGE(K165:K172)</f>
        <v>9.8571428571428577</v>
      </c>
      <c r="L173" s="217">
        <f t="shared" si="36"/>
        <v>85.857142857142861</v>
      </c>
      <c r="M173" s="218">
        <f t="shared" si="36"/>
        <v>86.714285714285708</v>
      </c>
      <c r="N173" s="220">
        <f t="shared" si="36"/>
        <v>82.5</v>
      </c>
      <c r="O173" s="218">
        <f t="shared" si="36"/>
        <v>6216</v>
      </c>
      <c r="P173" s="218">
        <f t="shared" si="36"/>
        <v>5913</v>
      </c>
      <c r="Q173" s="219">
        <f t="shared" ref="Q173" si="37">AVERAGE(Q165:Q171)</f>
        <v>4131.666666666667</v>
      </c>
    </row>
    <row r="174" spans="1:17" x14ac:dyDescent="0.25">
      <c r="A174" s="20">
        <v>2011</v>
      </c>
      <c r="B174" s="45">
        <v>20</v>
      </c>
      <c r="C174" s="21" t="s">
        <v>70</v>
      </c>
      <c r="D174" s="20">
        <v>405</v>
      </c>
      <c r="E174" s="210">
        <v>451</v>
      </c>
      <c r="F174" s="196">
        <v>311</v>
      </c>
      <c r="G174" s="211">
        <v>371</v>
      </c>
      <c r="H174" s="210">
        <v>386</v>
      </c>
      <c r="I174" s="210">
        <v>202</v>
      </c>
      <c r="J174" s="196">
        <v>295</v>
      </c>
      <c r="K174" s="210">
        <v>370</v>
      </c>
      <c r="L174" s="20">
        <v>126</v>
      </c>
      <c r="M174" s="210">
        <v>134</v>
      </c>
      <c r="N174" s="211">
        <v>91</v>
      </c>
      <c r="O174" s="210">
        <v>29430</v>
      </c>
      <c r="P174" s="210">
        <v>30390</v>
      </c>
      <c r="Q174" s="196">
        <v>16326</v>
      </c>
    </row>
    <row r="175" spans="1:17" x14ac:dyDescent="0.25">
      <c r="A175" s="22">
        <v>2012</v>
      </c>
      <c r="B175" s="214">
        <v>20</v>
      </c>
      <c r="C175" s="87" t="s">
        <v>71</v>
      </c>
      <c r="D175" s="22">
        <v>278</v>
      </c>
      <c r="E175" s="136">
        <v>424</v>
      </c>
      <c r="F175" s="197">
        <v>232</v>
      </c>
      <c r="G175" s="212">
        <v>201</v>
      </c>
      <c r="H175" s="136">
        <v>263</v>
      </c>
      <c r="I175" s="136">
        <v>431</v>
      </c>
      <c r="J175" s="197">
        <v>209</v>
      </c>
      <c r="K175" s="136">
        <v>162</v>
      </c>
      <c r="L175" s="22">
        <v>330</v>
      </c>
      <c r="M175" s="136">
        <v>113</v>
      </c>
      <c r="N175" s="212">
        <v>228</v>
      </c>
      <c r="O175" s="136">
        <v>23445</v>
      </c>
      <c r="P175" s="136">
        <v>24486</v>
      </c>
      <c r="Q175" s="197">
        <v>12571</v>
      </c>
    </row>
    <row r="176" spans="1:17" x14ac:dyDescent="0.25">
      <c r="A176" s="22">
        <v>2013</v>
      </c>
      <c r="B176" s="214">
        <v>20</v>
      </c>
      <c r="C176" s="87" t="s">
        <v>72</v>
      </c>
      <c r="D176" s="22">
        <v>228</v>
      </c>
      <c r="E176" s="136">
        <v>253</v>
      </c>
      <c r="F176" s="197">
        <v>176</v>
      </c>
      <c r="G176" s="212">
        <v>182</v>
      </c>
      <c r="H176" s="136">
        <v>180</v>
      </c>
      <c r="I176" s="136">
        <v>180</v>
      </c>
      <c r="J176" s="197">
        <v>142</v>
      </c>
      <c r="K176" s="136">
        <v>128</v>
      </c>
      <c r="L176" s="22">
        <v>95</v>
      </c>
      <c r="M176" s="136">
        <v>306</v>
      </c>
      <c r="N176" s="212">
        <v>92</v>
      </c>
      <c r="O176" s="136">
        <v>19866</v>
      </c>
      <c r="P176" s="136">
        <v>16102</v>
      </c>
      <c r="Q176" s="197">
        <v>13150</v>
      </c>
    </row>
    <row r="177" spans="1:17" x14ac:dyDescent="0.25">
      <c r="A177" s="22">
        <v>2014</v>
      </c>
      <c r="B177" s="214">
        <v>20</v>
      </c>
      <c r="C177" s="87" t="s">
        <v>73</v>
      </c>
      <c r="D177" s="22">
        <v>312</v>
      </c>
      <c r="E177" s="136">
        <v>205</v>
      </c>
      <c r="F177" s="197">
        <v>238</v>
      </c>
      <c r="G177" s="212">
        <v>281</v>
      </c>
      <c r="H177" s="136">
        <v>223</v>
      </c>
      <c r="I177" s="136">
        <v>179</v>
      </c>
      <c r="J177" s="197">
        <v>150</v>
      </c>
      <c r="K177" s="136">
        <v>200</v>
      </c>
      <c r="L177" s="22">
        <v>187</v>
      </c>
      <c r="M177" s="136">
        <v>151</v>
      </c>
      <c r="N177" s="212">
        <v>187</v>
      </c>
      <c r="O177" s="136">
        <v>29607</v>
      </c>
      <c r="P177" s="136">
        <v>28686</v>
      </c>
      <c r="Q177" s="197">
        <v>18557</v>
      </c>
    </row>
    <row r="178" spans="1:17" x14ac:dyDescent="0.25">
      <c r="A178" s="22">
        <v>2015</v>
      </c>
      <c r="B178" s="214">
        <v>20</v>
      </c>
      <c r="C178" s="87" t="s">
        <v>74</v>
      </c>
      <c r="D178" s="22">
        <v>298</v>
      </c>
      <c r="E178" s="136">
        <v>344</v>
      </c>
      <c r="F178" s="197">
        <v>244</v>
      </c>
      <c r="G178" s="212">
        <v>256</v>
      </c>
      <c r="H178" s="136">
        <v>152</v>
      </c>
      <c r="I178" s="136">
        <v>228</v>
      </c>
      <c r="J178" s="197">
        <v>113</v>
      </c>
      <c r="K178" s="136">
        <v>89</v>
      </c>
      <c r="L178" s="22">
        <v>104</v>
      </c>
      <c r="M178" s="136">
        <v>150</v>
      </c>
      <c r="N178" s="212">
        <v>103</v>
      </c>
      <c r="O178" s="136">
        <v>17420</v>
      </c>
      <c r="P178" s="136">
        <v>22750</v>
      </c>
      <c r="Q178" s="197">
        <v>11626</v>
      </c>
    </row>
    <row r="179" spans="1:17" s="14" customFormat="1" x14ac:dyDescent="0.25">
      <c r="A179" s="22">
        <v>2016</v>
      </c>
      <c r="B179" s="214">
        <v>20</v>
      </c>
      <c r="C179" s="87" t="s">
        <v>181</v>
      </c>
      <c r="D179" s="22">
        <v>263</v>
      </c>
      <c r="E179" s="136">
        <v>286</v>
      </c>
      <c r="F179" s="197">
        <v>203</v>
      </c>
      <c r="G179" s="212"/>
      <c r="H179" s="136">
        <v>89</v>
      </c>
      <c r="I179" s="136">
        <v>111</v>
      </c>
      <c r="J179" s="197">
        <v>53</v>
      </c>
      <c r="K179" s="136"/>
      <c r="L179" s="22">
        <v>149</v>
      </c>
      <c r="M179" s="136">
        <v>112</v>
      </c>
      <c r="N179" s="212"/>
      <c r="O179" s="136">
        <v>12370</v>
      </c>
      <c r="P179" s="136">
        <v>14409</v>
      </c>
      <c r="Q179" s="197">
        <v>8017</v>
      </c>
    </row>
    <row r="180" spans="1:17" s="14" customFormat="1" x14ac:dyDescent="0.25">
      <c r="A180" s="22">
        <v>2017</v>
      </c>
      <c r="B180" s="214">
        <v>20</v>
      </c>
      <c r="C180" s="87" t="s">
        <v>205</v>
      </c>
      <c r="D180" s="22">
        <v>238</v>
      </c>
      <c r="E180" s="136">
        <v>105</v>
      </c>
      <c r="F180" s="198" t="s">
        <v>356</v>
      </c>
      <c r="G180" s="212">
        <v>49</v>
      </c>
      <c r="H180" s="136">
        <v>72</v>
      </c>
      <c r="I180" s="136">
        <v>43</v>
      </c>
      <c r="J180" s="198" t="s">
        <v>356</v>
      </c>
      <c r="K180" s="136">
        <v>15</v>
      </c>
      <c r="L180" s="22">
        <v>124</v>
      </c>
      <c r="M180" s="136">
        <v>56</v>
      </c>
      <c r="N180" s="212">
        <v>56</v>
      </c>
      <c r="O180" s="136">
        <v>8848</v>
      </c>
      <c r="P180" s="136">
        <v>4401</v>
      </c>
      <c r="Q180" s="198" t="s">
        <v>356</v>
      </c>
    </row>
    <row r="181" spans="1:17" x14ac:dyDescent="0.25">
      <c r="A181" s="22">
        <v>20181</v>
      </c>
      <c r="B181" s="214">
        <v>20</v>
      </c>
      <c r="C181" s="87" t="str">
        <f>B181&amp;"_"&amp;A181</f>
        <v>20_20181</v>
      </c>
      <c r="D181" s="22">
        <v>227</v>
      </c>
      <c r="E181" s="136">
        <v>155</v>
      </c>
      <c r="F181" s="198" t="s">
        <v>356</v>
      </c>
      <c r="G181" s="212">
        <v>81</v>
      </c>
      <c r="H181" s="136">
        <v>52</v>
      </c>
      <c r="I181" s="136">
        <v>55</v>
      </c>
      <c r="J181" s="198" t="s">
        <v>356</v>
      </c>
      <c r="K181" s="136">
        <v>16</v>
      </c>
      <c r="L181" s="22">
        <v>124</v>
      </c>
      <c r="M181" s="136">
        <v>81</v>
      </c>
      <c r="N181" s="212">
        <v>81</v>
      </c>
      <c r="O181" s="136">
        <v>8303</v>
      </c>
      <c r="P181" s="136">
        <v>6491</v>
      </c>
      <c r="Q181" s="198" t="s">
        <v>356</v>
      </c>
    </row>
    <row r="182" spans="1:17" s="14" customFormat="1" ht="15.75" thickBot="1" x14ac:dyDescent="0.3">
      <c r="A182" s="221" t="s">
        <v>296</v>
      </c>
      <c r="B182" s="215">
        <v>20</v>
      </c>
      <c r="C182" s="216" t="s">
        <v>302</v>
      </c>
      <c r="D182" s="217">
        <f>AVERAGE(D174:D180)</f>
        <v>288.85714285714283</v>
      </c>
      <c r="E182" s="218">
        <f t="shared" ref="E182:P182" si="38">AVERAGE(E174:E180)</f>
        <v>295.42857142857144</v>
      </c>
      <c r="F182" s="219">
        <f t="shared" si="38"/>
        <v>234</v>
      </c>
      <c r="G182" s="220">
        <f t="shared" si="38"/>
        <v>223.33333333333334</v>
      </c>
      <c r="H182" s="218">
        <f t="shared" si="38"/>
        <v>195</v>
      </c>
      <c r="I182" s="218">
        <f t="shared" si="38"/>
        <v>196.28571428571428</v>
      </c>
      <c r="J182" s="219">
        <f t="shared" si="38"/>
        <v>160.33333333333334</v>
      </c>
      <c r="K182" s="218">
        <f>AVERAGE(K174:K181)</f>
        <v>140</v>
      </c>
      <c r="L182" s="217">
        <f t="shared" si="38"/>
        <v>159.28571428571428</v>
      </c>
      <c r="M182" s="218">
        <f t="shared" si="38"/>
        <v>146</v>
      </c>
      <c r="N182" s="220">
        <f t="shared" si="38"/>
        <v>126.16666666666667</v>
      </c>
      <c r="O182" s="218">
        <f t="shared" si="38"/>
        <v>20140.857142857141</v>
      </c>
      <c r="P182" s="218">
        <f t="shared" si="38"/>
        <v>20174.857142857141</v>
      </c>
      <c r="Q182" s="219">
        <f t="shared" ref="Q182" si="39">AVERAGE(Q174:Q180)</f>
        <v>13374.5</v>
      </c>
    </row>
    <row r="183" spans="1:17" x14ac:dyDescent="0.25">
      <c r="A183" s="20">
        <v>2011</v>
      </c>
      <c r="B183" s="45">
        <v>21</v>
      </c>
      <c r="C183" s="21" t="s">
        <v>75</v>
      </c>
      <c r="D183" s="20">
        <v>1042</v>
      </c>
      <c r="E183" s="210">
        <v>754</v>
      </c>
      <c r="F183" s="196">
        <v>851</v>
      </c>
      <c r="G183" s="211">
        <v>927</v>
      </c>
      <c r="H183" s="210">
        <v>447</v>
      </c>
      <c r="I183" s="210">
        <v>234</v>
      </c>
      <c r="J183" s="196">
        <v>297</v>
      </c>
      <c r="K183" s="210">
        <v>357</v>
      </c>
      <c r="L183" s="20">
        <v>213</v>
      </c>
      <c r="M183" s="210">
        <v>216</v>
      </c>
      <c r="N183" s="211">
        <v>190</v>
      </c>
      <c r="O183" s="210">
        <v>41504</v>
      </c>
      <c r="P183" s="210">
        <v>42653</v>
      </c>
      <c r="Q183" s="196">
        <v>23318</v>
      </c>
    </row>
    <row r="184" spans="1:17" x14ac:dyDescent="0.25">
      <c r="A184" s="22">
        <v>2012</v>
      </c>
      <c r="B184" s="214">
        <v>21</v>
      </c>
      <c r="C184" s="87" t="s">
        <v>76</v>
      </c>
      <c r="D184" s="22">
        <v>328</v>
      </c>
      <c r="E184" s="136">
        <v>948</v>
      </c>
      <c r="F184" s="197">
        <v>285</v>
      </c>
      <c r="G184" s="212">
        <v>281</v>
      </c>
      <c r="H184" s="136">
        <v>200</v>
      </c>
      <c r="I184" s="136">
        <v>439</v>
      </c>
      <c r="J184" s="197">
        <v>143</v>
      </c>
      <c r="K184" s="136">
        <v>126</v>
      </c>
      <c r="L184" s="22">
        <v>207</v>
      </c>
      <c r="M184" s="136">
        <v>190</v>
      </c>
      <c r="N184" s="212">
        <v>197</v>
      </c>
      <c r="O184" s="136">
        <v>23929</v>
      </c>
      <c r="P184" s="136">
        <v>21609</v>
      </c>
      <c r="Q184" s="197">
        <v>12883</v>
      </c>
    </row>
    <row r="185" spans="1:17" x14ac:dyDescent="0.25">
      <c r="A185" s="22">
        <v>2013</v>
      </c>
      <c r="B185" s="214">
        <v>21</v>
      </c>
      <c r="C185" s="87" t="s">
        <v>77</v>
      </c>
      <c r="D185" s="22">
        <v>859</v>
      </c>
      <c r="E185" s="136">
        <v>510</v>
      </c>
      <c r="F185" s="197">
        <v>552</v>
      </c>
      <c r="G185" s="212">
        <v>400</v>
      </c>
      <c r="H185" s="136">
        <v>220</v>
      </c>
      <c r="I185" s="136">
        <v>164</v>
      </c>
      <c r="J185" s="197">
        <v>165</v>
      </c>
      <c r="K185" s="136">
        <v>244</v>
      </c>
      <c r="L185" s="22">
        <v>472</v>
      </c>
      <c r="M185" s="136">
        <v>290</v>
      </c>
      <c r="N185" s="212">
        <v>385</v>
      </c>
      <c r="O185" s="136">
        <v>47664</v>
      </c>
      <c r="P185" s="136">
        <v>42895</v>
      </c>
      <c r="Q185" s="197">
        <v>26816</v>
      </c>
    </row>
    <row r="186" spans="1:17" x14ac:dyDescent="0.25">
      <c r="A186" s="22">
        <v>2014</v>
      </c>
      <c r="B186" s="214">
        <v>21</v>
      </c>
      <c r="C186" s="87" t="s">
        <v>78</v>
      </c>
      <c r="D186" s="22">
        <v>641</v>
      </c>
      <c r="E186" s="136">
        <v>801</v>
      </c>
      <c r="F186" s="197">
        <v>507</v>
      </c>
      <c r="G186" s="212">
        <v>463</v>
      </c>
      <c r="H186" s="136">
        <v>201</v>
      </c>
      <c r="I186" s="136">
        <v>256</v>
      </c>
      <c r="J186" s="197">
        <v>149</v>
      </c>
      <c r="K186" s="136">
        <v>154</v>
      </c>
      <c r="L186" s="22">
        <v>233</v>
      </c>
      <c r="M186" s="136">
        <v>417</v>
      </c>
      <c r="N186" s="212">
        <v>175</v>
      </c>
      <c r="O186" s="136">
        <v>41769</v>
      </c>
      <c r="P186" s="136">
        <v>43767</v>
      </c>
      <c r="Q186" s="197">
        <v>26004</v>
      </c>
    </row>
    <row r="187" spans="1:17" x14ac:dyDescent="0.25">
      <c r="A187" s="22">
        <v>2015</v>
      </c>
      <c r="B187" s="214">
        <v>21</v>
      </c>
      <c r="C187" s="87" t="s">
        <v>79</v>
      </c>
      <c r="D187" s="22">
        <v>580</v>
      </c>
      <c r="E187" s="136">
        <v>614</v>
      </c>
      <c r="F187" s="197">
        <v>447</v>
      </c>
      <c r="G187" s="212">
        <v>501</v>
      </c>
      <c r="H187" s="136">
        <v>141</v>
      </c>
      <c r="I187" s="136">
        <v>145</v>
      </c>
      <c r="J187" s="197">
        <v>95</v>
      </c>
      <c r="K187" s="136">
        <v>126</v>
      </c>
      <c r="L187" s="22">
        <v>203</v>
      </c>
      <c r="M187" s="136">
        <v>223</v>
      </c>
      <c r="N187" s="212">
        <v>157</v>
      </c>
      <c r="O187" s="136">
        <v>31085</v>
      </c>
      <c r="P187" s="136">
        <v>33497</v>
      </c>
      <c r="Q187" s="197">
        <v>20821</v>
      </c>
    </row>
    <row r="188" spans="1:17" s="14" customFormat="1" x14ac:dyDescent="0.25">
      <c r="A188" s="22">
        <v>2016</v>
      </c>
      <c r="B188" s="214">
        <v>21</v>
      </c>
      <c r="C188" s="87" t="s">
        <v>182</v>
      </c>
      <c r="D188" s="22">
        <v>465</v>
      </c>
      <c r="E188" s="136">
        <v>668</v>
      </c>
      <c r="F188" s="197">
        <v>263</v>
      </c>
      <c r="G188" s="212"/>
      <c r="H188" s="136">
        <v>105</v>
      </c>
      <c r="I188" s="136">
        <v>131</v>
      </c>
      <c r="J188" s="197">
        <v>46</v>
      </c>
      <c r="K188" s="136"/>
      <c r="L188" s="22">
        <v>203</v>
      </c>
      <c r="M188" s="136">
        <v>204</v>
      </c>
      <c r="N188" s="212"/>
      <c r="O188" s="136">
        <v>32839</v>
      </c>
      <c r="P188" s="136">
        <v>32466</v>
      </c>
      <c r="Q188" s="197">
        <v>21132</v>
      </c>
    </row>
    <row r="189" spans="1:17" s="14" customFormat="1" x14ac:dyDescent="0.25">
      <c r="A189" s="22">
        <v>2017</v>
      </c>
      <c r="B189" s="214">
        <v>21</v>
      </c>
      <c r="C189" s="87" t="s">
        <v>206</v>
      </c>
      <c r="D189" s="22">
        <v>245</v>
      </c>
      <c r="E189" s="136">
        <v>60</v>
      </c>
      <c r="F189" s="198" t="s">
        <v>356</v>
      </c>
      <c r="G189" s="212">
        <v>41</v>
      </c>
      <c r="H189" s="136">
        <v>41</v>
      </c>
      <c r="I189" s="136">
        <v>19</v>
      </c>
      <c r="J189" s="198" t="s">
        <v>356</v>
      </c>
      <c r="K189" s="136">
        <v>13</v>
      </c>
      <c r="L189" s="22">
        <v>156</v>
      </c>
      <c r="M189" s="136">
        <v>77</v>
      </c>
      <c r="N189" s="212">
        <v>50</v>
      </c>
      <c r="O189" s="136">
        <v>34830</v>
      </c>
      <c r="P189" s="136">
        <v>16719</v>
      </c>
      <c r="Q189" s="198" t="s">
        <v>356</v>
      </c>
    </row>
    <row r="190" spans="1:17" x14ac:dyDescent="0.25">
      <c r="A190" s="22">
        <v>20181</v>
      </c>
      <c r="B190" s="214">
        <v>21</v>
      </c>
      <c r="C190" s="87" t="str">
        <f>B190&amp;"_"&amp;A190</f>
        <v>21_20181</v>
      </c>
      <c r="D190" s="22">
        <v>239</v>
      </c>
      <c r="E190" s="136">
        <v>171</v>
      </c>
      <c r="F190" s="198" t="s">
        <v>356</v>
      </c>
      <c r="G190" s="212">
        <v>64</v>
      </c>
      <c r="H190" s="136">
        <v>40</v>
      </c>
      <c r="I190" s="136">
        <v>31</v>
      </c>
      <c r="J190" s="198" t="s">
        <v>356</v>
      </c>
      <c r="K190" s="136">
        <v>25</v>
      </c>
      <c r="L190" s="22">
        <v>134</v>
      </c>
      <c r="M190" s="136">
        <v>112</v>
      </c>
      <c r="N190" s="212">
        <v>82</v>
      </c>
      <c r="O190" s="136">
        <v>35900</v>
      </c>
      <c r="P190" s="136">
        <v>25035</v>
      </c>
      <c r="Q190" s="198" t="s">
        <v>356</v>
      </c>
    </row>
    <row r="191" spans="1:17" s="14" customFormat="1" ht="15.75" thickBot="1" x14ac:dyDescent="0.3">
      <c r="A191" s="221" t="s">
        <v>296</v>
      </c>
      <c r="B191" s="215">
        <v>21</v>
      </c>
      <c r="C191" s="216" t="s">
        <v>301</v>
      </c>
      <c r="D191" s="217">
        <f>AVERAGE(D183:D189)</f>
        <v>594.28571428571433</v>
      </c>
      <c r="E191" s="218">
        <f t="shared" ref="E191:P191" si="40">AVERAGE(E183:E189)</f>
        <v>622.14285714285711</v>
      </c>
      <c r="F191" s="219">
        <f t="shared" si="40"/>
        <v>484.16666666666669</v>
      </c>
      <c r="G191" s="220">
        <f t="shared" si="40"/>
        <v>435.5</v>
      </c>
      <c r="H191" s="218">
        <f t="shared" si="40"/>
        <v>193.57142857142858</v>
      </c>
      <c r="I191" s="218">
        <f t="shared" si="40"/>
        <v>198.28571428571428</v>
      </c>
      <c r="J191" s="219">
        <f t="shared" si="40"/>
        <v>149.16666666666666</v>
      </c>
      <c r="K191" s="218">
        <f>AVERAGE(K183:K190)</f>
        <v>149.28571428571428</v>
      </c>
      <c r="L191" s="217">
        <f t="shared" si="40"/>
        <v>241</v>
      </c>
      <c r="M191" s="218">
        <f t="shared" si="40"/>
        <v>231</v>
      </c>
      <c r="N191" s="220">
        <f t="shared" si="40"/>
        <v>192.33333333333334</v>
      </c>
      <c r="O191" s="218">
        <f t="shared" si="40"/>
        <v>36231.428571428572</v>
      </c>
      <c r="P191" s="218">
        <f t="shared" si="40"/>
        <v>33372.285714285717</v>
      </c>
      <c r="Q191" s="219">
        <f t="shared" ref="Q191" si="41">AVERAGE(Q183:Q189)</f>
        <v>21829</v>
      </c>
    </row>
    <row r="192" spans="1:17" x14ac:dyDescent="0.25">
      <c r="A192" s="20">
        <v>2011</v>
      </c>
      <c r="B192" s="45">
        <v>22</v>
      </c>
      <c r="C192" s="21" t="s">
        <v>80</v>
      </c>
      <c r="D192" s="20">
        <v>505</v>
      </c>
      <c r="E192" s="210">
        <v>679</v>
      </c>
      <c r="F192" s="196">
        <v>354</v>
      </c>
      <c r="G192" s="211">
        <v>392</v>
      </c>
      <c r="H192" s="210">
        <v>735</v>
      </c>
      <c r="I192" s="210">
        <v>586</v>
      </c>
      <c r="J192" s="196">
        <v>586</v>
      </c>
      <c r="K192" s="210">
        <v>647</v>
      </c>
      <c r="L192" s="20">
        <v>420</v>
      </c>
      <c r="M192" s="210">
        <v>474</v>
      </c>
      <c r="N192" s="211">
        <v>376</v>
      </c>
      <c r="O192" s="210">
        <v>68463</v>
      </c>
      <c r="P192" s="210">
        <v>54463</v>
      </c>
      <c r="Q192" s="196">
        <v>38603</v>
      </c>
    </row>
    <row r="193" spans="1:17" x14ac:dyDescent="0.25">
      <c r="A193" s="22">
        <v>2012</v>
      </c>
      <c r="B193" s="214">
        <v>22</v>
      </c>
      <c r="C193" s="87" t="s">
        <v>81</v>
      </c>
      <c r="D193" s="22">
        <v>649</v>
      </c>
      <c r="E193" s="136">
        <v>617</v>
      </c>
      <c r="F193" s="197">
        <v>483</v>
      </c>
      <c r="G193" s="212">
        <v>506</v>
      </c>
      <c r="H193" s="136">
        <v>1037</v>
      </c>
      <c r="I193" s="136">
        <v>1008</v>
      </c>
      <c r="J193" s="197">
        <v>834</v>
      </c>
      <c r="K193" s="136">
        <v>761</v>
      </c>
      <c r="L193" s="22">
        <v>368</v>
      </c>
      <c r="M193" s="136">
        <v>182</v>
      </c>
      <c r="N193" s="212">
        <v>324</v>
      </c>
      <c r="O193" s="136">
        <v>57428</v>
      </c>
      <c r="P193" s="136">
        <v>71599</v>
      </c>
      <c r="Q193" s="197">
        <v>28838</v>
      </c>
    </row>
    <row r="194" spans="1:17" x14ac:dyDescent="0.25">
      <c r="A194" s="22">
        <v>2013</v>
      </c>
      <c r="B194" s="214">
        <v>22</v>
      </c>
      <c r="C194" s="87" t="s">
        <v>82</v>
      </c>
      <c r="D194" s="22">
        <v>683</v>
      </c>
      <c r="E194" s="136">
        <v>638</v>
      </c>
      <c r="F194" s="197">
        <v>533</v>
      </c>
      <c r="G194" s="212">
        <v>655</v>
      </c>
      <c r="H194" s="136">
        <v>835</v>
      </c>
      <c r="I194" s="136">
        <v>899</v>
      </c>
      <c r="J194" s="197">
        <v>676</v>
      </c>
      <c r="K194" s="136">
        <v>720</v>
      </c>
      <c r="L194" s="22">
        <v>769</v>
      </c>
      <c r="M194" s="136">
        <v>472</v>
      </c>
      <c r="N194" s="212">
        <v>359</v>
      </c>
      <c r="O194" s="136">
        <v>34521</v>
      </c>
      <c r="P194" s="136">
        <v>34746</v>
      </c>
      <c r="Q194" s="197">
        <v>21485</v>
      </c>
    </row>
    <row r="195" spans="1:17" x14ac:dyDescent="0.25">
      <c r="A195" s="22">
        <v>2014</v>
      </c>
      <c r="B195" s="214">
        <v>22</v>
      </c>
      <c r="C195" s="87" t="s">
        <v>83</v>
      </c>
      <c r="D195" s="22">
        <v>731</v>
      </c>
      <c r="E195" s="136">
        <v>799</v>
      </c>
      <c r="F195" s="197">
        <v>596</v>
      </c>
      <c r="G195" s="212">
        <v>546</v>
      </c>
      <c r="H195" s="136">
        <v>813</v>
      </c>
      <c r="I195" s="136">
        <v>856</v>
      </c>
      <c r="J195" s="197">
        <v>679</v>
      </c>
      <c r="K195" s="136">
        <v>635</v>
      </c>
      <c r="L195" s="22">
        <v>375</v>
      </c>
      <c r="M195" s="136">
        <v>841</v>
      </c>
      <c r="N195" s="212">
        <v>112</v>
      </c>
      <c r="O195" s="136">
        <v>30637</v>
      </c>
      <c r="P195" s="136">
        <v>32919</v>
      </c>
      <c r="Q195" s="197">
        <v>23079</v>
      </c>
    </row>
    <row r="196" spans="1:17" x14ac:dyDescent="0.25">
      <c r="A196" s="22">
        <v>2015</v>
      </c>
      <c r="B196" s="214">
        <v>22</v>
      </c>
      <c r="C196" s="87" t="s">
        <v>84</v>
      </c>
      <c r="D196" s="22">
        <v>462</v>
      </c>
      <c r="E196" s="136">
        <v>536</v>
      </c>
      <c r="F196" s="197">
        <v>374</v>
      </c>
      <c r="G196" s="212">
        <v>383</v>
      </c>
      <c r="H196" s="136">
        <v>479</v>
      </c>
      <c r="I196" s="136">
        <v>628</v>
      </c>
      <c r="J196" s="197">
        <v>397</v>
      </c>
      <c r="K196" s="136">
        <v>374</v>
      </c>
      <c r="L196" s="22">
        <v>367</v>
      </c>
      <c r="M196" s="136">
        <v>255</v>
      </c>
      <c r="N196" s="212">
        <v>312</v>
      </c>
      <c r="O196" s="136">
        <v>33699</v>
      </c>
      <c r="P196" s="136">
        <v>33551</v>
      </c>
      <c r="Q196" s="197">
        <v>25509</v>
      </c>
    </row>
    <row r="197" spans="1:17" s="14" customFormat="1" x14ac:dyDescent="0.25">
      <c r="A197" s="22">
        <v>2016</v>
      </c>
      <c r="B197" s="214">
        <v>22</v>
      </c>
      <c r="C197" s="87" t="s">
        <v>183</v>
      </c>
      <c r="D197" s="22">
        <v>554</v>
      </c>
      <c r="E197" s="136">
        <v>440</v>
      </c>
      <c r="F197" s="197">
        <v>371</v>
      </c>
      <c r="G197" s="212"/>
      <c r="H197" s="136">
        <v>485</v>
      </c>
      <c r="I197" s="136">
        <v>428</v>
      </c>
      <c r="J197" s="197">
        <v>311</v>
      </c>
      <c r="K197" s="136"/>
      <c r="L197" s="22">
        <v>394</v>
      </c>
      <c r="M197" s="136">
        <v>368</v>
      </c>
      <c r="N197" s="212"/>
      <c r="O197" s="136">
        <v>55973</v>
      </c>
      <c r="P197" s="136">
        <v>24424</v>
      </c>
      <c r="Q197" s="197">
        <v>32029</v>
      </c>
    </row>
    <row r="198" spans="1:17" s="14" customFormat="1" x14ac:dyDescent="0.25">
      <c r="A198" s="22">
        <v>2017</v>
      </c>
      <c r="B198" s="214">
        <v>22</v>
      </c>
      <c r="C198" s="87" t="s">
        <v>207</v>
      </c>
      <c r="D198" s="22">
        <v>446</v>
      </c>
      <c r="E198" s="136">
        <v>258</v>
      </c>
      <c r="F198" s="198" t="s">
        <v>356</v>
      </c>
      <c r="G198" s="212">
        <v>163</v>
      </c>
      <c r="H198" s="136">
        <v>231</v>
      </c>
      <c r="I198" s="136">
        <v>126</v>
      </c>
      <c r="J198" s="198" t="s">
        <v>356</v>
      </c>
      <c r="K198" s="136">
        <v>87</v>
      </c>
      <c r="L198" s="22">
        <v>339</v>
      </c>
      <c r="M198" s="136">
        <v>255</v>
      </c>
      <c r="N198" s="212">
        <v>224</v>
      </c>
      <c r="O198" s="136">
        <v>18261</v>
      </c>
      <c r="P198" s="136">
        <v>9296</v>
      </c>
      <c r="Q198" s="198" t="s">
        <v>356</v>
      </c>
    </row>
    <row r="199" spans="1:17" x14ac:dyDescent="0.25">
      <c r="A199" s="22">
        <v>20181</v>
      </c>
      <c r="B199" s="214">
        <v>22</v>
      </c>
      <c r="C199" s="87" t="str">
        <f>B199&amp;"_"&amp;A199</f>
        <v>22_20181</v>
      </c>
      <c r="D199" s="22">
        <v>409</v>
      </c>
      <c r="E199" s="136">
        <v>333</v>
      </c>
      <c r="F199" s="198" t="s">
        <v>356</v>
      </c>
      <c r="G199" s="212">
        <v>214</v>
      </c>
      <c r="H199" s="136">
        <v>248</v>
      </c>
      <c r="I199" s="136">
        <v>187</v>
      </c>
      <c r="J199" s="198" t="s">
        <v>356</v>
      </c>
      <c r="K199" s="136">
        <v>122</v>
      </c>
      <c r="L199" s="22">
        <v>373</v>
      </c>
      <c r="M199" s="136">
        <v>294</v>
      </c>
      <c r="N199" s="212">
        <v>852</v>
      </c>
      <c r="O199" s="136">
        <v>17364</v>
      </c>
      <c r="P199" s="136">
        <v>14132</v>
      </c>
      <c r="Q199" s="198" t="s">
        <v>356</v>
      </c>
    </row>
    <row r="200" spans="1:17" s="14" customFormat="1" ht="15.75" thickBot="1" x14ac:dyDescent="0.3">
      <c r="A200" s="221" t="s">
        <v>296</v>
      </c>
      <c r="B200" s="215">
        <v>22</v>
      </c>
      <c r="C200" s="216" t="s">
        <v>300</v>
      </c>
      <c r="D200" s="217">
        <f>AVERAGE(D192:D198)</f>
        <v>575.71428571428567</v>
      </c>
      <c r="E200" s="218">
        <f t="shared" ref="E200:P200" si="42">AVERAGE(E192:E198)</f>
        <v>566.71428571428567</v>
      </c>
      <c r="F200" s="219">
        <f t="shared" si="42"/>
        <v>451.83333333333331</v>
      </c>
      <c r="G200" s="220">
        <f t="shared" si="42"/>
        <v>440.83333333333331</v>
      </c>
      <c r="H200" s="218">
        <f t="shared" si="42"/>
        <v>659.28571428571433</v>
      </c>
      <c r="I200" s="218">
        <f t="shared" si="42"/>
        <v>647.28571428571433</v>
      </c>
      <c r="J200" s="219">
        <f t="shared" si="42"/>
        <v>580.5</v>
      </c>
      <c r="K200" s="218">
        <f>AVERAGE(K192:K199)</f>
        <v>478</v>
      </c>
      <c r="L200" s="217">
        <f t="shared" si="42"/>
        <v>433.14285714285717</v>
      </c>
      <c r="M200" s="218">
        <f t="shared" si="42"/>
        <v>406.71428571428572</v>
      </c>
      <c r="N200" s="220">
        <f t="shared" si="42"/>
        <v>284.5</v>
      </c>
      <c r="O200" s="218">
        <f t="shared" si="42"/>
        <v>42711.714285714283</v>
      </c>
      <c r="P200" s="218">
        <f t="shared" si="42"/>
        <v>37285.428571428572</v>
      </c>
      <c r="Q200" s="219">
        <f t="shared" ref="Q200" si="43">AVERAGE(Q192:Q198)</f>
        <v>28257.166666666668</v>
      </c>
    </row>
    <row r="201" spans="1:17" x14ac:dyDescent="0.25">
      <c r="A201" s="20">
        <v>2011</v>
      </c>
      <c r="B201" s="45">
        <v>23</v>
      </c>
      <c r="C201" s="21" t="s">
        <v>85</v>
      </c>
      <c r="D201" s="20">
        <v>2303</v>
      </c>
      <c r="E201" s="210">
        <v>2545</v>
      </c>
      <c r="F201" s="196">
        <v>1747</v>
      </c>
      <c r="G201" s="211">
        <v>774</v>
      </c>
      <c r="H201" s="210">
        <v>756</v>
      </c>
      <c r="I201" s="210">
        <v>598</v>
      </c>
      <c r="J201" s="196">
        <v>603</v>
      </c>
      <c r="K201" s="210">
        <v>680</v>
      </c>
      <c r="L201" s="20">
        <v>741</v>
      </c>
      <c r="M201" s="210">
        <v>848</v>
      </c>
      <c r="N201" s="211">
        <v>694</v>
      </c>
      <c r="O201" s="210">
        <v>106734</v>
      </c>
      <c r="P201" s="210">
        <v>101139</v>
      </c>
      <c r="Q201" s="196">
        <v>54826</v>
      </c>
    </row>
    <row r="202" spans="1:17" x14ac:dyDescent="0.25">
      <c r="A202" s="22">
        <v>2012</v>
      </c>
      <c r="B202" s="214">
        <v>23</v>
      </c>
      <c r="C202" s="87" t="s">
        <v>86</v>
      </c>
      <c r="D202" s="22">
        <v>1792</v>
      </c>
      <c r="E202" s="136">
        <v>1800</v>
      </c>
      <c r="F202" s="197">
        <v>1150</v>
      </c>
      <c r="G202" s="212">
        <v>987</v>
      </c>
      <c r="H202" s="136">
        <v>881</v>
      </c>
      <c r="I202" s="136">
        <v>884</v>
      </c>
      <c r="J202" s="197">
        <v>723</v>
      </c>
      <c r="K202" s="136">
        <v>714</v>
      </c>
      <c r="L202" s="22">
        <v>643</v>
      </c>
      <c r="M202" s="136">
        <v>657</v>
      </c>
      <c r="N202" s="212">
        <v>581</v>
      </c>
      <c r="O202" s="136">
        <v>109062</v>
      </c>
      <c r="P202" s="136">
        <v>112764</v>
      </c>
      <c r="Q202" s="197">
        <v>56110</v>
      </c>
    </row>
    <row r="203" spans="1:17" x14ac:dyDescent="0.25">
      <c r="A203" s="22">
        <v>2013</v>
      </c>
      <c r="B203" s="214">
        <v>23</v>
      </c>
      <c r="C203" s="87" t="s">
        <v>87</v>
      </c>
      <c r="D203" s="22">
        <v>1937</v>
      </c>
      <c r="E203" s="136">
        <v>1868</v>
      </c>
      <c r="F203" s="197">
        <v>1333</v>
      </c>
      <c r="G203" s="212">
        <v>950</v>
      </c>
      <c r="H203" s="136">
        <v>973</v>
      </c>
      <c r="I203" s="136">
        <v>841</v>
      </c>
      <c r="J203" s="197">
        <v>735</v>
      </c>
      <c r="K203" s="136">
        <v>794</v>
      </c>
      <c r="L203" s="22">
        <v>544</v>
      </c>
      <c r="M203" s="136">
        <v>527</v>
      </c>
      <c r="N203" s="212">
        <v>528</v>
      </c>
      <c r="O203" s="136">
        <v>107135</v>
      </c>
      <c r="P203" s="136">
        <v>112334</v>
      </c>
      <c r="Q203" s="197">
        <v>57258</v>
      </c>
    </row>
    <row r="204" spans="1:17" x14ac:dyDescent="0.25">
      <c r="A204" s="22">
        <v>2014</v>
      </c>
      <c r="B204" s="214">
        <v>23</v>
      </c>
      <c r="C204" s="87" t="s">
        <v>88</v>
      </c>
      <c r="D204" s="22">
        <v>1769</v>
      </c>
      <c r="E204" s="136">
        <v>1780</v>
      </c>
      <c r="F204" s="197">
        <v>1188</v>
      </c>
      <c r="G204" s="212">
        <v>1178</v>
      </c>
      <c r="H204" s="136">
        <v>1015</v>
      </c>
      <c r="I204" s="136">
        <v>1016</v>
      </c>
      <c r="J204" s="197">
        <v>683</v>
      </c>
      <c r="K204" s="136">
        <v>779</v>
      </c>
      <c r="L204" s="22">
        <v>736</v>
      </c>
      <c r="M204" s="136">
        <v>670</v>
      </c>
      <c r="N204" s="212">
        <v>716</v>
      </c>
      <c r="O204" s="136">
        <v>86809</v>
      </c>
      <c r="P204" s="136">
        <v>89808</v>
      </c>
      <c r="Q204" s="197">
        <v>53621</v>
      </c>
    </row>
    <row r="205" spans="1:17" x14ac:dyDescent="0.25">
      <c r="A205" s="22">
        <v>2015</v>
      </c>
      <c r="B205" s="214">
        <v>23</v>
      </c>
      <c r="C205" s="87" t="s">
        <v>89</v>
      </c>
      <c r="D205" s="22">
        <v>1887</v>
      </c>
      <c r="E205" s="136">
        <v>1741</v>
      </c>
      <c r="F205" s="197">
        <v>1282</v>
      </c>
      <c r="G205" s="212">
        <v>904</v>
      </c>
      <c r="H205" s="136">
        <v>810</v>
      </c>
      <c r="I205" s="136">
        <v>877</v>
      </c>
      <c r="J205" s="197">
        <v>539</v>
      </c>
      <c r="K205" s="136">
        <v>521</v>
      </c>
      <c r="L205" s="22">
        <v>1067</v>
      </c>
      <c r="M205" s="136">
        <v>787</v>
      </c>
      <c r="N205" s="212">
        <v>1040</v>
      </c>
      <c r="O205" s="136">
        <v>85963</v>
      </c>
      <c r="P205" s="136">
        <v>83593</v>
      </c>
      <c r="Q205" s="197">
        <v>58964</v>
      </c>
    </row>
    <row r="206" spans="1:17" s="14" customFormat="1" x14ac:dyDescent="0.25">
      <c r="A206" s="22">
        <v>2016</v>
      </c>
      <c r="B206" s="214">
        <v>23</v>
      </c>
      <c r="C206" s="87" t="s">
        <v>184</v>
      </c>
      <c r="D206" s="22">
        <v>2894</v>
      </c>
      <c r="E206" s="136">
        <v>1986</v>
      </c>
      <c r="F206" s="197">
        <v>1150</v>
      </c>
      <c r="G206" s="212"/>
      <c r="H206" s="136">
        <v>791</v>
      </c>
      <c r="I206" s="136">
        <v>737</v>
      </c>
      <c r="J206" s="197">
        <v>281</v>
      </c>
      <c r="K206" s="136"/>
      <c r="L206" s="22">
        <v>931</v>
      </c>
      <c r="M206" s="136">
        <v>1063</v>
      </c>
      <c r="N206" s="212"/>
      <c r="O206" s="136">
        <v>86112</v>
      </c>
      <c r="P206" s="136">
        <v>75806</v>
      </c>
      <c r="Q206" s="197">
        <v>56007</v>
      </c>
    </row>
    <row r="207" spans="1:17" s="14" customFormat="1" x14ac:dyDescent="0.25">
      <c r="A207" s="22">
        <v>2017</v>
      </c>
      <c r="B207" s="214">
        <v>23</v>
      </c>
      <c r="C207" s="87" t="s">
        <v>208</v>
      </c>
      <c r="D207" s="22">
        <v>3527</v>
      </c>
      <c r="E207" s="136">
        <v>2262</v>
      </c>
      <c r="F207" s="198" t="s">
        <v>356</v>
      </c>
      <c r="G207" s="212">
        <v>276</v>
      </c>
      <c r="H207" s="136">
        <v>386</v>
      </c>
      <c r="I207" s="136">
        <v>244</v>
      </c>
      <c r="J207" s="198" t="s">
        <v>356</v>
      </c>
      <c r="K207" s="136">
        <v>102</v>
      </c>
      <c r="L207" s="22">
        <v>178</v>
      </c>
      <c r="M207" s="136">
        <v>118</v>
      </c>
      <c r="N207" s="212">
        <v>118</v>
      </c>
      <c r="O207" s="136">
        <v>139338</v>
      </c>
      <c r="P207" s="136">
        <v>56913</v>
      </c>
      <c r="Q207" s="198" t="s">
        <v>356</v>
      </c>
    </row>
    <row r="208" spans="1:17" x14ac:dyDescent="0.25">
      <c r="A208" s="22">
        <v>20181</v>
      </c>
      <c r="B208" s="214">
        <v>23</v>
      </c>
      <c r="C208" s="87" t="str">
        <f>B208&amp;"_"&amp;A208</f>
        <v>23_20181</v>
      </c>
      <c r="D208" s="22">
        <v>2625</v>
      </c>
      <c r="E208" s="136">
        <v>3166</v>
      </c>
      <c r="F208" s="198" t="s">
        <v>356</v>
      </c>
      <c r="G208" s="212">
        <v>365</v>
      </c>
      <c r="H208" s="136">
        <v>317</v>
      </c>
      <c r="I208" s="136">
        <v>345</v>
      </c>
      <c r="J208" s="198" t="s">
        <v>356</v>
      </c>
      <c r="K208" s="136">
        <v>134</v>
      </c>
      <c r="L208" s="22">
        <v>129</v>
      </c>
      <c r="M208" s="136">
        <v>169</v>
      </c>
      <c r="N208" s="212">
        <v>156</v>
      </c>
      <c r="O208" s="136">
        <v>134501</v>
      </c>
      <c r="P208" s="136">
        <v>81751</v>
      </c>
      <c r="Q208" s="198" t="s">
        <v>356</v>
      </c>
    </row>
    <row r="209" spans="1:17" s="14" customFormat="1" ht="15.75" thickBot="1" x14ac:dyDescent="0.3">
      <c r="A209" s="221" t="s">
        <v>296</v>
      </c>
      <c r="B209" s="215">
        <v>23</v>
      </c>
      <c r="C209" s="216" t="s">
        <v>299</v>
      </c>
      <c r="D209" s="217">
        <f>AVERAGE(D201:D207)</f>
        <v>2301.2857142857142</v>
      </c>
      <c r="E209" s="218">
        <f t="shared" ref="E209:P209" si="44">AVERAGE(E201:E207)</f>
        <v>1997.4285714285713</v>
      </c>
      <c r="F209" s="219">
        <f t="shared" si="44"/>
        <v>1308.3333333333333</v>
      </c>
      <c r="G209" s="220">
        <f t="shared" si="44"/>
        <v>844.83333333333337</v>
      </c>
      <c r="H209" s="218">
        <f t="shared" si="44"/>
        <v>801.71428571428567</v>
      </c>
      <c r="I209" s="218">
        <f t="shared" si="44"/>
        <v>742.42857142857144</v>
      </c>
      <c r="J209" s="219">
        <f t="shared" si="44"/>
        <v>594</v>
      </c>
      <c r="K209" s="218">
        <f>AVERAGE(K201:K208)</f>
        <v>532</v>
      </c>
      <c r="L209" s="217">
        <f t="shared" si="44"/>
        <v>691.42857142857144</v>
      </c>
      <c r="M209" s="218">
        <f t="shared" si="44"/>
        <v>667.14285714285711</v>
      </c>
      <c r="N209" s="220">
        <f t="shared" si="44"/>
        <v>612.83333333333337</v>
      </c>
      <c r="O209" s="218">
        <f t="shared" si="44"/>
        <v>103021.85714285714</v>
      </c>
      <c r="P209" s="218">
        <f t="shared" si="44"/>
        <v>90336.71428571429</v>
      </c>
      <c r="Q209" s="219">
        <f t="shared" ref="Q209" si="45">AVERAGE(Q201:Q207)</f>
        <v>56131</v>
      </c>
    </row>
    <row r="210" spans="1:17" x14ac:dyDescent="0.25">
      <c r="A210" s="20">
        <v>2011</v>
      </c>
      <c r="B210" s="45">
        <v>24</v>
      </c>
      <c r="C210" s="21" t="s">
        <v>90</v>
      </c>
      <c r="D210" s="20">
        <v>993</v>
      </c>
      <c r="E210" s="210">
        <v>722</v>
      </c>
      <c r="F210" s="196">
        <v>764</v>
      </c>
      <c r="G210" s="211">
        <v>671</v>
      </c>
      <c r="H210" s="210">
        <v>754</v>
      </c>
      <c r="I210" s="210">
        <v>283</v>
      </c>
      <c r="J210" s="196">
        <v>547</v>
      </c>
      <c r="K210" s="210">
        <v>699</v>
      </c>
      <c r="L210" s="20">
        <v>142</v>
      </c>
      <c r="M210" s="210">
        <v>135</v>
      </c>
      <c r="N210" s="211">
        <v>142</v>
      </c>
      <c r="O210" s="210">
        <v>40687</v>
      </c>
      <c r="P210" s="210">
        <v>40602</v>
      </c>
      <c r="Q210" s="196">
        <v>23672</v>
      </c>
    </row>
    <row r="211" spans="1:17" x14ac:dyDescent="0.25">
      <c r="A211" s="22">
        <v>2012</v>
      </c>
      <c r="B211" s="214">
        <v>24</v>
      </c>
      <c r="C211" s="87" t="s">
        <v>91</v>
      </c>
      <c r="D211" s="22">
        <v>462</v>
      </c>
      <c r="E211" s="136">
        <v>741</v>
      </c>
      <c r="F211" s="197">
        <v>354</v>
      </c>
      <c r="G211" s="212">
        <v>373</v>
      </c>
      <c r="H211" s="136">
        <v>387</v>
      </c>
      <c r="I211" s="136">
        <v>804</v>
      </c>
      <c r="J211" s="197">
        <v>300</v>
      </c>
      <c r="K211" s="136">
        <v>252</v>
      </c>
      <c r="L211" s="22">
        <v>153</v>
      </c>
      <c r="M211" s="136">
        <v>129</v>
      </c>
      <c r="N211" s="212">
        <v>149</v>
      </c>
      <c r="O211" s="136">
        <v>26235</v>
      </c>
      <c r="P211" s="136">
        <v>25601</v>
      </c>
      <c r="Q211" s="197">
        <v>14729</v>
      </c>
    </row>
    <row r="212" spans="1:17" x14ac:dyDescent="0.25">
      <c r="A212" s="22">
        <v>2013</v>
      </c>
      <c r="B212" s="214">
        <v>24</v>
      </c>
      <c r="C212" s="87" t="s">
        <v>92</v>
      </c>
      <c r="D212" s="22">
        <v>734</v>
      </c>
      <c r="E212" s="136">
        <v>599</v>
      </c>
      <c r="F212" s="197">
        <v>581</v>
      </c>
      <c r="G212" s="212">
        <v>586</v>
      </c>
      <c r="H212" s="136">
        <v>383</v>
      </c>
      <c r="I212" s="136">
        <v>297</v>
      </c>
      <c r="J212" s="197">
        <v>286</v>
      </c>
      <c r="K212" s="136">
        <v>330</v>
      </c>
      <c r="L212" s="22">
        <v>200</v>
      </c>
      <c r="M212" s="136">
        <v>159</v>
      </c>
      <c r="N212" s="212">
        <v>200</v>
      </c>
      <c r="O212" s="136">
        <v>32497</v>
      </c>
      <c r="P212" s="136">
        <v>30568</v>
      </c>
      <c r="Q212" s="197">
        <v>19735</v>
      </c>
    </row>
    <row r="213" spans="1:17" x14ac:dyDescent="0.25">
      <c r="A213" s="22">
        <v>2014</v>
      </c>
      <c r="B213" s="214">
        <v>24</v>
      </c>
      <c r="C213" s="87" t="s">
        <v>93</v>
      </c>
      <c r="D213" s="22">
        <v>681</v>
      </c>
      <c r="E213" s="136">
        <v>676</v>
      </c>
      <c r="F213" s="197">
        <v>506</v>
      </c>
      <c r="G213" s="212">
        <v>656</v>
      </c>
      <c r="H213" s="136">
        <v>316</v>
      </c>
      <c r="I213" s="136">
        <v>372</v>
      </c>
      <c r="J213" s="197">
        <v>228</v>
      </c>
      <c r="K213" s="136">
        <v>279</v>
      </c>
      <c r="L213" s="22">
        <v>215</v>
      </c>
      <c r="M213" s="136">
        <v>214</v>
      </c>
      <c r="N213" s="212">
        <v>214</v>
      </c>
      <c r="O213" s="136">
        <v>29397</v>
      </c>
      <c r="P213" s="136">
        <v>30685</v>
      </c>
      <c r="Q213" s="197">
        <v>19753</v>
      </c>
    </row>
    <row r="214" spans="1:17" x14ac:dyDescent="0.25">
      <c r="A214" s="22">
        <v>2015</v>
      </c>
      <c r="B214" s="214">
        <v>24</v>
      </c>
      <c r="C214" s="87" t="s">
        <v>94</v>
      </c>
      <c r="D214" s="22">
        <v>639</v>
      </c>
      <c r="E214" s="136">
        <v>760</v>
      </c>
      <c r="F214" s="197">
        <v>528</v>
      </c>
      <c r="G214" s="212">
        <v>540</v>
      </c>
      <c r="H214" s="136">
        <v>211</v>
      </c>
      <c r="I214" s="136">
        <v>308</v>
      </c>
      <c r="J214" s="197">
        <v>164</v>
      </c>
      <c r="K214" s="136">
        <v>152</v>
      </c>
      <c r="L214" s="22">
        <v>348</v>
      </c>
      <c r="M214" s="136">
        <v>246</v>
      </c>
      <c r="N214" s="212">
        <v>348</v>
      </c>
      <c r="O214" s="136">
        <v>25531</v>
      </c>
      <c r="P214" s="136">
        <v>26230</v>
      </c>
      <c r="Q214" s="197">
        <v>17903</v>
      </c>
    </row>
    <row r="215" spans="1:17" s="14" customFormat="1" x14ac:dyDescent="0.25">
      <c r="A215" s="22">
        <v>2016</v>
      </c>
      <c r="B215" s="214">
        <v>24</v>
      </c>
      <c r="C215" s="87" t="s">
        <v>185</v>
      </c>
      <c r="D215" s="22">
        <v>596</v>
      </c>
      <c r="E215" s="136">
        <v>574</v>
      </c>
      <c r="F215" s="197">
        <v>436</v>
      </c>
      <c r="G215" s="212"/>
      <c r="H215" s="136">
        <v>119</v>
      </c>
      <c r="I215" s="136">
        <v>157</v>
      </c>
      <c r="J215" s="197">
        <v>83</v>
      </c>
      <c r="K215" s="136"/>
      <c r="L215" s="22">
        <v>323</v>
      </c>
      <c r="M215" s="136">
        <v>346</v>
      </c>
      <c r="N215" s="212"/>
      <c r="O215" s="136">
        <v>21104</v>
      </c>
      <c r="P215" s="136">
        <v>23458</v>
      </c>
      <c r="Q215" s="197">
        <v>14009</v>
      </c>
    </row>
    <row r="216" spans="1:17" s="14" customFormat="1" x14ac:dyDescent="0.25">
      <c r="A216" s="22">
        <v>2017</v>
      </c>
      <c r="B216" s="214">
        <v>24</v>
      </c>
      <c r="C216" s="87" t="s">
        <v>209</v>
      </c>
      <c r="D216" s="22">
        <v>442</v>
      </c>
      <c r="E216" s="136">
        <v>240</v>
      </c>
      <c r="F216" s="198" t="s">
        <v>356</v>
      </c>
      <c r="G216" s="212">
        <v>196</v>
      </c>
      <c r="H216" s="136">
        <v>66</v>
      </c>
      <c r="I216" s="136">
        <v>42</v>
      </c>
      <c r="J216" s="198" t="s">
        <v>356</v>
      </c>
      <c r="K216" s="136">
        <v>33</v>
      </c>
      <c r="L216" s="22">
        <v>228</v>
      </c>
      <c r="M216" s="136">
        <v>163</v>
      </c>
      <c r="N216" s="212">
        <v>162</v>
      </c>
      <c r="O216" s="136">
        <v>17936</v>
      </c>
      <c r="P216" s="136">
        <v>9872</v>
      </c>
      <c r="Q216" s="198" t="s">
        <v>356</v>
      </c>
    </row>
    <row r="217" spans="1:17" x14ac:dyDescent="0.25">
      <c r="A217" s="22">
        <v>20181</v>
      </c>
      <c r="B217" s="214">
        <v>24</v>
      </c>
      <c r="C217" s="87" t="str">
        <f>B217&amp;"_"&amp;A217</f>
        <v>24_20181</v>
      </c>
      <c r="D217" s="22">
        <v>437</v>
      </c>
      <c r="E217" s="136">
        <v>347</v>
      </c>
      <c r="F217" s="198" t="s">
        <v>356</v>
      </c>
      <c r="G217" s="212">
        <v>287</v>
      </c>
      <c r="H217" s="136">
        <v>73</v>
      </c>
      <c r="I217" s="136">
        <v>58</v>
      </c>
      <c r="J217" s="198" t="s">
        <v>356</v>
      </c>
      <c r="K217" s="136">
        <v>46</v>
      </c>
      <c r="L217" s="22">
        <v>243</v>
      </c>
      <c r="M217" s="136">
        <v>213</v>
      </c>
      <c r="N217" s="212">
        <v>203</v>
      </c>
      <c r="O217" s="136">
        <v>16800</v>
      </c>
      <c r="P217" s="136">
        <v>14118</v>
      </c>
      <c r="Q217" s="198" t="s">
        <v>356</v>
      </c>
    </row>
    <row r="218" spans="1:17" s="14" customFormat="1" ht="15.75" thickBot="1" x14ac:dyDescent="0.3">
      <c r="A218" s="221" t="s">
        <v>296</v>
      </c>
      <c r="B218" s="215">
        <v>24</v>
      </c>
      <c r="C218" s="216" t="s">
        <v>298</v>
      </c>
      <c r="D218" s="217">
        <f>AVERAGE(D210:D216)</f>
        <v>649.57142857142856</v>
      </c>
      <c r="E218" s="218">
        <f t="shared" ref="E218:P218" si="46">AVERAGE(E210:E216)</f>
        <v>616</v>
      </c>
      <c r="F218" s="219">
        <f t="shared" si="46"/>
        <v>528.16666666666663</v>
      </c>
      <c r="G218" s="220">
        <f t="shared" si="46"/>
        <v>503.66666666666669</v>
      </c>
      <c r="H218" s="218">
        <f t="shared" si="46"/>
        <v>319.42857142857144</v>
      </c>
      <c r="I218" s="218">
        <f t="shared" si="46"/>
        <v>323.28571428571428</v>
      </c>
      <c r="J218" s="219">
        <f t="shared" si="46"/>
        <v>268</v>
      </c>
      <c r="K218" s="218">
        <f>AVERAGE(K210:K217)</f>
        <v>255.85714285714286</v>
      </c>
      <c r="L218" s="217">
        <f t="shared" si="46"/>
        <v>229.85714285714286</v>
      </c>
      <c r="M218" s="218">
        <f t="shared" si="46"/>
        <v>198.85714285714286</v>
      </c>
      <c r="N218" s="220">
        <f t="shared" si="46"/>
        <v>202.5</v>
      </c>
      <c r="O218" s="218">
        <f t="shared" si="46"/>
        <v>27626.714285714286</v>
      </c>
      <c r="P218" s="218">
        <f t="shared" si="46"/>
        <v>26716.571428571428</v>
      </c>
      <c r="Q218" s="219">
        <f t="shared" ref="Q218" si="47">AVERAGE(Q210:Q216)</f>
        <v>18300.166666666668</v>
      </c>
    </row>
    <row r="219" spans="1:17" x14ac:dyDescent="0.25">
      <c r="A219" s="20">
        <v>2011</v>
      </c>
      <c r="B219" s="45">
        <v>25</v>
      </c>
      <c r="C219" s="21" t="s">
        <v>226</v>
      </c>
      <c r="D219" s="20">
        <v>14791</v>
      </c>
      <c r="E219" s="210">
        <v>16571</v>
      </c>
      <c r="F219" s="196">
        <v>12132</v>
      </c>
      <c r="G219" s="211">
        <v>10525</v>
      </c>
      <c r="H219" s="210">
        <v>8166</v>
      </c>
      <c r="I219" s="210">
        <v>6704</v>
      </c>
      <c r="J219" s="196">
        <v>6408</v>
      </c>
      <c r="K219" s="210">
        <v>6595</v>
      </c>
      <c r="L219" s="20">
        <v>5455</v>
      </c>
      <c r="M219" s="210">
        <v>5359</v>
      </c>
      <c r="N219" s="211">
        <v>5205</v>
      </c>
      <c r="O219" s="210">
        <v>902073</v>
      </c>
      <c r="P219" s="210">
        <v>925200</v>
      </c>
      <c r="Q219" s="196">
        <v>514370</v>
      </c>
    </row>
    <row r="220" spans="1:17" x14ac:dyDescent="0.25">
      <c r="A220" s="22">
        <v>2012</v>
      </c>
      <c r="B220" s="214">
        <v>25</v>
      </c>
      <c r="C220" s="87" t="s">
        <v>227</v>
      </c>
      <c r="D220" s="22">
        <v>12741</v>
      </c>
      <c r="E220" s="136">
        <v>13802</v>
      </c>
      <c r="F220" s="197">
        <v>10028</v>
      </c>
      <c r="G220" s="212">
        <v>9012</v>
      </c>
      <c r="H220" s="136">
        <v>8077</v>
      </c>
      <c r="I220" s="136">
        <v>8878</v>
      </c>
      <c r="J220" s="197">
        <v>6496</v>
      </c>
      <c r="K220" s="136">
        <v>5667</v>
      </c>
      <c r="L220" s="22">
        <v>4931</v>
      </c>
      <c r="M220" s="136">
        <v>4908</v>
      </c>
      <c r="N220" s="212">
        <v>4595</v>
      </c>
      <c r="O220" s="136">
        <v>622978</v>
      </c>
      <c r="P220" s="136">
        <v>595192</v>
      </c>
      <c r="Q220" s="197">
        <v>337075</v>
      </c>
    </row>
    <row r="221" spans="1:17" x14ac:dyDescent="0.25">
      <c r="A221" s="22">
        <v>2013</v>
      </c>
      <c r="B221" s="214">
        <v>25</v>
      </c>
      <c r="C221" s="87" t="s">
        <v>228</v>
      </c>
      <c r="D221" s="22">
        <v>14391</v>
      </c>
      <c r="E221" s="136">
        <v>13422</v>
      </c>
      <c r="F221" s="197">
        <v>11633</v>
      </c>
      <c r="G221" s="212">
        <v>10912</v>
      </c>
      <c r="H221" s="136">
        <v>7393</v>
      </c>
      <c r="I221" s="136">
        <v>7620</v>
      </c>
      <c r="J221" s="197">
        <v>5674</v>
      </c>
      <c r="K221" s="136">
        <v>5879</v>
      </c>
      <c r="L221" s="22">
        <v>5896</v>
      </c>
      <c r="M221" s="136">
        <v>5729</v>
      </c>
      <c r="N221" s="212">
        <v>5271</v>
      </c>
      <c r="O221" s="136">
        <v>702411</v>
      </c>
      <c r="P221" s="136">
        <v>695674</v>
      </c>
      <c r="Q221" s="197">
        <v>418960</v>
      </c>
    </row>
    <row r="222" spans="1:17" x14ac:dyDescent="0.25">
      <c r="A222" s="22">
        <v>2014</v>
      </c>
      <c r="B222" s="214">
        <v>25</v>
      </c>
      <c r="C222" s="87" t="s">
        <v>229</v>
      </c>
      <c r="D222" s="22">
        <v>13900</v>
      </c>
      <c r="E222" s="136">
        <v>14364</v>
      </c>
      <c r="F222" s="197">
        <v>11664</v>
      </c>
      <c r="G222" s="212">
        <v>11437</v>
      </c>
      <c r="H222" s="136">
        <v>6442</v>
      </c>
      <c r="I222" s="136">
        <v>6883</v>
      </c>
      <c r="J222" s="197">
        <v>4965</v>
      </c>
      <c r="K222" s="136">
        <v>4932</v>
      </c>
      <c r="L222" s="22">
        <v>4881</v>
      </c>
      <c r="M222" s="136">
        <v>5245</v>
      </c>
      <c r="N222" s="212">
        <v>4398</v>
      </c>
      <c r="O222" s="136">
        <v>633791</v>
      </c>
      <c r="P222" s="136">
        <v>671551</v>
      </c>
      <c r="Q222" s="197">
        <v>409628</v>
      </c>
    </row>
    <row r="223" spans="1:17" x14ac:dyDescent="0.25">
      <c r="A223" s="22">
        <v>2015</v>
      </c>
      <c r="B223" s="214">
        <v>25</v>
      </c>
      <c r="C223" s="87" t="s">
        <v>230</v>
      </c>
      <c r="D223" s="22">
        <v>15387</v>
      </c>
      <c r="E223" s="136">
        <v>13920</v>
      </c>
      <c r="F223" s="197">
        <v>12541</v>
      </c>
      <c r="G223" s="212">
        <v>12054</v>
      </c>
      <c r="H223" s="136">
        <v>5732</v>
      </c>
      <c r="I223" s="136">
        <v>6015</v>
      </c>
      <c r="J223" s="197">
        <v>4401</v>
      </c>
      <c r="K223" s="136">
        <v>3983</v>
      </c>
      <c r="L223" s="22">
        <v>6688</v>
      </c>
      <c r="M223" s="136">
        <v>5156</v>
      </c>
      <c r="N223" s="212">
        <v>6345</v>
      </c>
      <c r="O223" s="136">
        <v>593729</v>
      </c>
      <c r="P223" s="136">
        <v>598928</v>
      </c>
      <c r="Q223" s="197">
        <v>396175</v>
      </c>
    </row>
    <row r="224" spans="1:17" s="14" customFormat="1" x14ac:dyDescent="0.25">
      <c r="A224" s="22">
        <v>2016</v>
      </c>
      <c r="B224" s="214">
        <v>25</v>
      </c>
      <c r="C224" s="87" t="s">
        <v>231</v>
      </c>
      <c r="D224" s="22">
        <v>15214</v>
      </c>
      <c r="E224" s="136">
        <v>15630</v>
      </c>
      <c r="F224" s="197">
        <v>8385</v>
      </c>
      <c r="G224" s="212"/>
      <c r="H224" s="136">
        <v>4777</v>
      </c>
      <c r="I224" s="136">
        <v>5262</v>
      </c>
      <c r="J224" s="197">
        <v>2348</v>
      </c>
      <c r="K224" s="136"/>
      <c r="L224" s="22">
        <v>6571</v>
      </c>
      <c r="M224" s="136">
        <v>6709</v>
      </c>
      <c r="N224" s="212"/>
      <c r="O224" s="136">
        <v>556757</v>
      </c>
      <c r="P224" s="136">
        <v>556282</v>
      </c>
      <c r="Q224" s="197">
        <v>363830</v>
      </c>
    </row>
    <row r="225" spans="1:17" s="14" customFormat="1" x14ac:dyDescent="0.25">
      <c r="A225" s="22">
        <v>2017</v>
      </c>
      <c r="B225" s="214">
        <v>25</v>
      </c>
      <c r="C225" s="87" t="s">
        <v>232</v>
      </c>
      <c r="D225" s="22">
        <v>13592</v>
      </c>
      <c r="E225" s="136">
        <v>6361</v>
      </c>
      <c r="F225" s="198" t="s">
        <v>356</v>
      </c>
      <c r="G225" s="212">
        <v>2325</v>
      </c>
      <c r="H225" s="136">
        <v>3227</v>
      </c>
      <c r="I225" s="136">
        <v>1572</v>
      </c>
      <c r="J225" s="198" t="s">
        <v>356</v>
      </c>
      <c r="K225" s="136">
        <v>625</v>
      </c>
      <c r="L225" s="22">
        <v>3871</v>
      </c>
      <c r="M225" s="136">
        <v>1847</v>
      </c>
      <c r="N225" s="212">
        <v>1695</v>
      </c>
      <c r="O225" s="136">
        <v>480444</v>
      </c>
      <c r="P225" s="136">
        <v>230646</v>
      </c>
      <c r="Q225" s="198" t="s">
        <v>356</v>
      </c>
    </row>
    <row r="226" spans="1:17" x14ac:dyDescent="0.25">
      <c r="A226" s="22">
        <v>20181</v>
      </c>
      <c r="B226" s="214">
        <v>25</v>
      </c>
      <c r="C226" s="87" t="str">
        <f>B226&amp;"_"&amp;A226</f>
        <v>25_20181</v>
      </c>
      <c r="D226" s="22">
        <v>12663</v>
      </c>
      <c r="E226" s="136">
        <v>9390</v>
      </c>
      <c r="F226" s="198" t="s">
        <v>356</v>
      </c>
      <c r="G226" s="212">
        <v>3489</v>
      </c>
      <c r="H226" s="136">
        <v>3193</v>
      </c>
      <c r="I226" s="136">
        <v>2521</v>
      </c>
      <c r="J226" s="198" t="s">
        <v>356</v>
      </c>
      <c r="K226" s="136">
        <v>1034</v>
      </c>
      <c r="L226" s="22">
        <v>4068</v>
      </c>
      <c r="M226" s="136">
        <v>2922</v>
      </c>
      <c r="N226" s="212">
        <v>2547</v>
      </c>
      <c r="O226" s="136">
        <v>463999</v>
      </c>
      <c r="P226" s="136">
        <v>337258</v>
      </c>
      <c r="Q226" s="198" t="s">
        <v>356</v>
      </c>
    </row>
    <row r="227" spans="1:17" ht="15.75" thickBot="1" x14ac:dyDescent="0.3">
      <c r="A227" s="221" t="s">
        <v>296</v>
      </c>
      <c r="B227" s="215">
        <v>25</v>
      </c>
      <c r="C227" s="216" t="s">
        <v>297</v>
      </c>
      <c r="D227" s="217">
        <f>AVERAGE(D219:D225)</f>
        <v>14288</v>
      </c>
      <c r="E227" s="218">
        <f>AVERAGE(E219:E225)</f>
        <v>13438.571428571429</v>
      </c>
      <c r="F227" s="219">
        <f t="shared" ref="F227:P227" si="48">AVERAGE(F219:F225)</f>
        <v>11063.833333333334</v>
      </c>
      <c r="G227" s="220">
        <f>AVERAGE(G219:G225)</f>
        <v>9377.5</v>
      </c>
      <c r="H227" s="218">
        <f t="shared" si="48"/>
        <v>6259.1428571428569</v>
      </c>
      <c r="I227" s="218">
        <f t="shared" si="48"/>
        <v>6133.4285714285716</v>
      </c>
      <c r="J227" s="219">
        <f t="shared" si="48"/>
        <v>5048.666666666667</v>
      </c>
      <c r="K227" s="218">
        <f t="shared" si="48"/>
        <v>4613.5</v>
      </c>
      <c r="L227" s="217">
        <f t="shared" si="48"/>
        <v>5470.4285714285716</v>
      </c>
      <c r="M227" s="218">
        <f>AVERAGE(M219:M225)</f>
        <v>4993.2857142857147</v>
      </c>
      <c r="N227" s="220">
        <f t="shared" si="48"/>
        <v>4584.833333333333</v>
      </c>
      <c r="O227" s="218">
        <f t="shared" si="48"/>
        <v>641740.42857142852</v>
      </c>
      <c r="P227" s="218">
        <f t="shared" si="48"/>
        <v>610496.14285714284</v>
      </c>
      <c r="Q227" s="219">
        <f t="shared" ref="Q227" si="49">AVERAGE(Q219:Q225)</f>
        <v>406673</v>
      </c>
    </row>
    <row r="229" spans="1:17" x14ac:dyDescent="0.25">
      <c r="A229" s="14"/>
    </row>
    <row r="230" spans="1:17" x14ac:dyDescent="0.25">
      <c r="K230" s="14"/>
    </row>
    <row r="231" spans="1:17" x14ac:dyDescent="0.25">
      <c r="K231" s="14"/>
    </row>
    <row r="232" spans="1:17" x14ac:dyDescent="0.25">
      <c r="K232" s="14"/>
    </row>
    <row r="233" spans="1:17" x14ac:dyDescent="0.25">
      <c r="K233" s="14"/>
    </row>
    <row r="234" spans="1:17" x14ac:dyDescent="0.25">
      <c r="K234" s="14"/>
    </row>
    <row r="235" spans="1:17" x14ac:dyDescent="0.25">
      <c r="E235" s="14"/>
      <c r="K235" s="14"/>
    </row>
    <row r="236" spans="1:17" x14ac:dyDescent="0.25">
      <c r="E236" s="14"/>
      <c r="K236" s="14"/>
    </row>
    <row r="237" spans="1:17" x14ac:dyDescent="0.25">
      <c r="E237" s="14"/>
      <c r="K237" s="14"/>
    </row>
    <row r="238" spans="1:17" x14ac:dyDescent="0.25">
      <c r="E238" s="14"/>
      <c r="K238" s="14"/>
    </row>
    <row r="239" spans="1:17" x14ac:dyDescent="0.25">
      <c r="E239" s="14"/>
      <c r="K239" s="14"/>
    </row>
    <row r="240" spans="1:17" x14ac:dyDescent="0.25">
      <c r="E240" s="14"/>
      <c r="K240" s="14"/>
    </row>
    <row r="241" spans="5:11" x14ac:dyDescent="0.25">
      <c r="E241" s="14"/>
      <c r="K241" s="14"/>
    </row>
    <row r="242" spans="5:11" x14ac:dyDescent="0.25">
      <c r="E242" s="14"/>
      <c r="K242" s="14"/>
    </row>
    <row r="243" spans="5:11" x14ac:dyDescent="0.25">
      <c r="E243" s="14"/>
      <c r="K243" s="14"/>
    </row>
    <row r="244" spans="5:11" x14ac:dyDescent="0.25">
      <c r="E244" s="14"/>
      <c r="K244" s="14"/>
    </row>
    <row r="245" spans="5:11" x14ac:dyDescent="0.25">
      <c r="E245" s="14"/>
      <c r="K245" s="14"/>
    </row>
    <row r="246" spans="5:11" x14ac:dyDescent="0.25">
      <c r="E246" s="14"/>
      <c r="K246" s="14"/>
    </row>
    <row r="247" spans="5:11" x14ac:dyDescent="0.25">
      <c r="E247" s="14"/>
      <c r="K247" s="14"/>
    </row>
    <row r="248" spans="5:11" x14ac:dyDescent="0.25">
      <c r="E248" s="14"/>
      <c r="K248" s="14"/>
    </row>
    <row r="249" spans="5:11" x14ac:dyDescent="0.25">
      <c r="E249" s="14"/>
      <c r="K249" s="14"/>
    </row>
    <row r="250" spans="5:11" x14ac:dyDescent="0.25">
      <c r="E250" s="14"/>
      <c r="K250" s="14"/>
    </row>
    <row r="251" spans="5:11" x14ac:dyDescent="0.25">
      <c r="E251" s="14"/>
      <c r="K251" s="14"/>
    </row>
    <row r="252" spans="5:11" x14ac:dyDescent="0.25">
      <c r="E252" s="14"/>
      <c r="K252" s="14"/>
    </row>
    <row r="253" spans="5:11" x14ac:dyDescent="0.25">
      <c r="E253" s="14"/>
      <c r="K253" s="14"/>
    </row>
    <row r="254" spans="5:11" x14ac:dyDescent="0.25">
      <c r="E254" s="14"/>
    </row>
    <row r="255" spans="5:11" x14ac:dyDescent="0.25">
      <c r="E255" s="14"/>
    </row>
    <row r="256" spans="5:11" x14ac:dyDescent="0.25">
      <c r="E256" s="14"/>
    </row>
    <row r="257" spans="5:5" x14ac:dyDescent="0.25">
      <c r="E257" s="14"/>
    </row>
    <row r="258" spans="5:5" x14ac:dyDescent="0.25">
      <c r="E258" s="1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RowHeight="15" x14ac:dyDescent="0.25"/>
  <cols>
    <col min="1" max="1" width="6" style="14" customWidth="1"/>
    <col min="2" max="2" width="6.140625" style="14" bestFit="1" customWidth="1"/>
    <col min="3" max="3" width="9" style="14" bestFit="1" customWidth="1"/>
    <col min="4" max="4" width="10.7109375" style="14" customWidth="1"/>
    <col min="5" max="5" width="11.5703125" style="14" customWidth="1"/>
    <col min="6" max="6" width="9.85546875" style="14" customWidth="1"/>
    <col min="7" max="7" width="9.140625" style="14" customWidth="1"/>
    <col min="8" max="8" width="10.140625" style="14" customWidth="1"/>
    <col min="9" max="9" width="9.7109375" style="14" customWidth="1"/>
    <col min="10" max="10" width="8.7109375" style="14" customWidth="1"/>
    <col min="11" max="11" width="8.5703125" style="14" customWidth="1"/>
    <col min="12" max="12" width="11.85546875" style="14" customWidth="1"/>
    <col min="13" max="13" width="12.140625" style="14" customWidth="1"/>
    <col min="14" max="14" width="10.85546875" style="14" customWidth="1"/>
    <col min="15" max="15" width="9.85546875" style="14" customWidth="1"/>
    <col min="16" max="17" width="9.28515625" style="14" customWidth="1"/>
    <col min="18" max="16384" width="9.140625" style="14"/>
  </cols>
  <sheetData>
    <row r="1" spans="1:17" x14ac:dyDescent="0.25"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</row>
    <row r="2" spans="1:17" ht="75.75" thickBot="1" x14ac:dyDescent="0.3">
      <c r="A2" s="232" t="s">
        <v>14</v>
      </c>
      <c r="B2" s="232" t="s">
        <v>323</v>
      </c>
      <c r="C2" s="232" t="s">
        <v>115</v>
      </c>
      <c r="D2" s="1" t="s">
        <v>16</v>
      </c>
      <c r="E2" s="1" t="s">
        <v>17</v>
      </c>
      <c r="F2" s="1" t="s">
        <v>18</v>
      </c>
      <c r="G2" s="1" t="s">
        <v>19</v>
      </c>
      <c r="H2" s="2" t="s">
        <v>16</v>
      </c>
      <c r="I2" s="2" t="s">
        <v>17</v>
      </c>
      <c r="J2" s="2" t="s">
        <v>18</v>
      </c>
      <c r="K2" s="2" t="s">
        <v>19</v>
      </c>
      <c r="L2" s="3" t="s">
        <v>16</v>
      </c>
      <c r="M2" s="3" t="s">
        <v>17</v>
      </c>
      <c r="N2" s="3" t="s">
        <v>19</v>
      </c>
      <c r="O2" s="4" t="s">
        <v>16</v>
      </c>
      <c r="P2" s="4" t="s">
        <v>17</v>
      </c>
      <c r="Q2" s="4" t="s">
        <v>18</v>
      </c>
    </row>
    <row r="3" spans="1:17" x14ac:dyDescent="0.25">
      <c r="A3" s="20">
        <v>20171</v>
      </c>
      <c r="B3" s="21">
        <v>1</v>
      </c>
      <c r="C3" s="222" t="str">
        <f t="shared" ref="C3:C67" si="0">B3&amp;"_"&amp;A3</f>
        <v>1_20171</v>
      </c>
      <c r="D3" s="140">
        <v>88.89</v>
      </c>
      <c r="E3" s="108"/>
      <c r="F3" s="144">
        <v>8122</v>
      </c>
      <c r="G3" s="108"/>
      <c r="H3" s="140">
        <v>60</v>
      </c>
      <c r="I3" s="108"/>
      <c r="J3" s="144">
        <v>7120</v>
      </c>
      <c r="K3" s="108"/>
      <c r="L3" s="140">
        <v>86.67</v>
      </c>
      <c r="M3" s="108"/>
      <c r="N3" s="114"/>
      <c r="O3" s="140">
        <v>60.02</v>
      </c>
      <c r="P3" s="108"/>
      <c r="Q3" s="152">
        <v>4500</v>
      </c>
    </row>
    <row r="4" spans="1:17" x14ac:dyDescent="0.25">
      <c r="A4" s="22">
        <v>20172</v>
      </c>
      <c r="B4" s="87">
        <v>1</v>
      </c>
      <c r="C4" s="223" t="str">
        <f t="shared" si="0"/>
        <v>1_20172</v>
      </c>
      <c r="D4" s="141">
        <v>90.9</v>
      </c>
      <c r="E4" s="110"/>
      <c r="F4" s="145">
        <v>8338</v>
      </c>
      <c r="G4" s="110"/>
      <c r="H4" s="141">
        <v>66.7</v>
      </c>
      <c r="I4" s="110"/>
      <c r="J4" s="145">
        <v>8089</v>
      </c>
      <c r="K4" s="110"/>
      <c r="L4" s="141">
        <v>86</v>
      </c>
      <c r="M4" s="110"/>
      <c r="N4" s="116"/>
      <c r="O4" s="141">
        <v>60.81</v>
      </c>
      <c r="P4" s="110"/>
      <c r="Q4" s="153">
        <v>5307</v>
      </c>
    </row>
    <row r="5" spans="1:17" ht="15.75" thickBot="1" x14ac:dyDescent="0.3">
      <c r="A5" s="22">
        <v>20173</v>
      </c>
      <c r="B5" s="87">
        <v>1</v>
      </c>
      <c r="C5" s="223" t="str">
        <f t="shared" si="0"/>
        <v>1_20173</v>
      </c>
      <c r="D5" s="141">
        <v>92.3</v>
      </c>
      <c r="E5" s="143">
        <v>90.9</v>
      </c>
      <c r="F5" s="145">
        <v>9047</v>
      </c>
      <c r="G5" s="110"/>
      <c r="H5" s="141">
        <v>70.599999999999994</v>
      </c>
      <c r="I5" s="143">
        <v>70</v>
      </c>
      <c r="J5" s="145">
        <v>7250</v>
      </c>
      <c r="K5" s="110"/>
      <c r="L5" s="141">
        <v>90.1</v>
      </c>
      <c r="M5" s="110"/>
      <c r="N5" s="116"/>
      <c r="O5" s="141">
        <v>62.8</v>
      </c>
      <c r="P5" s="143">
        <v>62.5</v>
      </c>
      <c r="Q5" s="153">
        <v>4527</v>
      </c>
    </row>
    <row r="6" spans="1:17" x14ac:dyDescent="0.25">
      <c r="A6" s="22">
        <v>20174</v>
      </c>
      <c r="B6" s="87">
        <v>1</v>
      </c>
      <c r="C6" s="223" t="str">
        <f t="shared" si="0"/>
        <v>1_20174</v>
      </c>
      <c r="D6" s="141">
        <v>92.8</v>
      </c>
      <c r="E6" s="143">
        <v>93.2</v>
      </c>
      <c r="F6" s="145">
        <v>8338</v>
      </c>
      <c r="G6" s="14">
        <v>77.8</v>
      </c>
      <c r="H6" s="227">
        <v>72.2</v>
      </c>
      <c r="I6" s="228">
        <v>75</v>
      </c>
      <c r="J6" s="229">
        <v>7464</v>
      </c>
      <c r="K6" s="211">
        <v>54.5</v>
      </c>
      <c r="L6" s="141">
        <v>89</v>
      </c>
      <c r="M6" s="143">
        <v>81.400000000000006</v>
      </c>
      <c r="N6" s="212">
        <v>92.7</v>
      </c>
      <c r="O6" s="141">
        <v>65.8</v>
      </c>
      <c r="P6" s="143">
        <v>66.400000000000006</v>
      </c>
      <c r="Q6" s="153">
        <v>4645</v>
      </c>
    </row>
    <row r="7" spans="1:17" ht="15.75" thickBot="1" x14ac:dyDescent="0.3">
      <c r="A7" s="213">
        <v>20181</v>
      </c>
      <c r="B7" s="54">
        <v>1</v>
      </c>
      <c r="C7" s="224" t="str">
        <f t="shared" si="0"/>
        <v>1_20181</v>
      </c>
      <c r="D7" s="141">
        <v>94.5</v>
      </c>
      <c r="E7" s="143">
        <v>94</v>
      </c>
      <c r="F7" s="145">
        <v>9079</v>
      </c>
      <c r="G7" s="143">
        <v>81.5</v>
      </c>
      <c r="H7" s="147">
        <v>70</v>
      </c>
      <c r="I7" s="148">
        <v>76.5</v>
      </c>
      <c r="J7" s="149">
        <v>7045</v>
      </c>
      <c r="K7" s="230">
        <v>66.7</v>
      </c>
      <c r="L7" s="150">
        <v>82.7</v>
      </c>
      <c r="M7" s="151">
        <v>85.5</v>
      </c>
      <c r="N7" s="225">
        <v>89.9</v>
      </c>
      <c r="O7" s="150">
        <v>65.5</v>
      </c>
      <c r="P7" s="151">
        <v>65.8</v>
      </c>
      <c r="Q7" s="153">
        <v>4537</v>
      </c>
    </row>
    <row r="8" spans="1:17" x14ac:dyDescent="0.25">
      <c r="A8" s="20">
        <v>20171</v>
      </c>
      <c r="B8" s="21">
        <v>2</v>
      </c>
      <c r="C8" s="222" t="str">
        <f t="shared" si="0"/>
        <v>2_20171</v>
      </c>
      <c r="D8" s="142">
        <v>95.65</v>
      </c>
      <c r="E8" s="108"/>
      <c r="F8" s="146">
        <v>8947</v>
      </c>
      <c r="G8" s="108"/>
      <c r="H8" s="142">
        <v>66.67</v>
      </c>
      <c r="I8" s="108"/>
      <c r="J8" s="146">
        <v>6420</v>
      </c>
      <c r="K8" s="114"/>
      <c r="L8" s="142">
        <v>87.5</v>
      </c>
      <c r="M8" s="108"/>
      <c r="N8" s="114"/>
      <c r="O8" s="142">
        <v>66.34</v>
      </c>
      <c r="P8" s="108"/>
      <c r="Q8" s="154">
        <v>4633</v>
      </c>
    </row>
    <row r="9" spans="1:17" x14ac:dyDescent="0.25">
      <c r="A9" s="22">
        <v>20172</v>
      </c>
      <c r="B9" s="87">
        <v>2</v>
      </c>
      <c r="C9" s="223" t="str">
        <f t="shared" si="0"/>
        <v>2_20172</v>
      </c>
      <c r="D9" s="109">
        <v>96.7</v>
      </c>
      <c r="E9" s="110"/>
      <c r="F9" s="101">
        <v>8272</v>
      </c>
      <c r="G9" s="110"/>
      <c r="H9" s="99">
        <v>66.7</v>
      </c>
      <c r="I9" s="110"/>
      <c r="J9" s="97">
        <v>6421</v>
      </c>
      <c r="K9" s="116"/>
      <c r="L9" s="109">
        <v>92.3</v>
      </c>
      <c r="M9" s="110"/>
      <c r="N9" s="116"/>
      <c r="O9" s="109">
        <v>65.819999999999993</v>
      </c>
      <c r="P9" s="110"/>
      <c r="Q9" s="111">
        <v>5410</v>
      </c>
    </row>
    <row r="10" spans="1:17" x14ac:dyDescent="0.25">
      <c r="A10" s="22">
        <v>20173</v>
      </c>
      <c r="B10" s="87">
        <v>2</v>
      </c>
      <c r="C10" s="223" t="str">
        <f t="shared" si="0"/>
        <v>2_20173</v>
      </c>
      <c r="D10" s="109">
        <v>92.9</v>
      </c>
      <c r="E10" s="96">
        <v>95.7</v>
      </c>
      <c r="F10" s="101">
        <v>9591</v>
      </c>
      <c r="G10" s="110"/>
      <c r="H10" s="99">
        <v>50</v>
      </c>
      <c r="I10" s="100">
        <v>100</v>
      </c>
      <c r="J10" s="97">
        <v>9331</v>
      </c>
      <c r="K10" s="116"/>
      <c r="L10" s="109">
        <v>87.5</v>
      </c>
      <c r="M10" s="110"/>
      <c r="N10" s="116"/>
      <c r="O10" s="109">
        <v>68.400000000000006</v>
      </c>
      <c r="P10" s="96">
        <v>67.3</v>
      </c>
      <c r="Q10" s="111">
        <v>4987</v>
      </c>
    </row>
    <row r="11" spans="1:17" x14ac:dyDescent="0.25">
      <c r="A11" s="22">
        <v>20174</v>
      </c>
      <c r="B11" s="87">
        <v>2</v>
      </c>
      <c r="C11" s="223" t="str">
        <f t="shared" si="0"/>
        <v>2_20174</v>
      </c>
      <c r="D11" s="109">
        <v>95.2</v>
      </c>
      <c r="E11" s="96">
        <v>96.7</v>
      </c>
      <c r="F11" s="101">
        <v>9041</v>
      </c>
      <c r="G11" s="14">
        <v>96</v>
      </c>
      <c r="H11" s="109">
        <v>75</v>
      </c>
      <c r="I11" s="96">
        <v>100</v>
      </c>
      <c r="J11" s="97">
        <v>4546</v>
      </c>
      <c r="K11" s="212">
        <v>66.7</v>
      </c>
      <c r="L11" s="109">
        <v>88.9</v>
      </c>
      <c r="M11" s="96">
        <v>85.7</v>
      </c>
      <c r="N11" s="212">
        <v>57.1</v>
      </c>
      <c r="O11" s="109">
        <v>69.2</v>
      </c>
      <c r="P11" s="96">
        <v>67.3</v>
      </c>
      <c r="Q11" s="111">
        <v>5115</v>
      </c>
    </row>
    <row r="12" spans="1:17" ht="15.75" thickBot="1" x14ac:dyDescent="0.3">
      <c r="A12" s="213">
        <v>20181</v>
      </c>
      <c r="B12" s="54">
        <v>2</v>
      </c>
      <c r="C12" s="224" t="str">
        <f t="shared" si="0"/>
        <v>2_20181</v>
      </c>
      <c r="D12" s="92">
        <v>84.4</v>
      </c>
      <c r="E12" s="93">
        <v>85.1</v>
      </c>
      <c r="F12" s="94">
        <v>8461</v>
      </c>
      <c r="G12" s="93">
        <v>92.3</v>
      </c>
      <c r="H12" s="109">
        <v>85.7</v>
      </c>
      <c r="I12" s="96">
        <v>83.3</v>
      </c>
      <c r="J12" s="97">
        <v>4546</v>
      </c>
      <c r="K12" s="231">
        <v>66.7</v>
      </c>
      <c r="L12" s="92">
        <v>92.1</v>
      </c>
      <c r="M12" s="93">
        <v>70.8</v>
      </c>
      <c r="N12" s="95">
        <v>62.5</v>
      </c>
      <c r="O12" s="92">
        <v>68.3</v>
      </c>
      <c r="P12" s="93">
        <v>67.400000000000006</v>
      </c>
      <c r="Q12" s="98">
        <v>5332</v>
      </c>
    </row>
    <row r="13" spans="1:17" x14ac:dyDescent="0.25">
      <c r="A13" s="20">
        <v>20171</v>
      </c>
      <c r="B13" s="21">
        <v>3</v>
      </c>
      <c r="C13" s="222" t="str">
        <f t="shared" si="0"/>
        <v>3_20171</v>
      </c>
      <c r="D13" s="118">
        <v>100</v>
      </c>
      <c r="E13" s="110"/>
      <c r="F13" s="101">
        <v>7320</v>
      </c>
      <c r="G13" s="110"/>
      <c r="H13" s="112"/>
      <c r="I13" s="108"/>
      <c r="J13" s="113"/>
      <c r="K13" s="114"/>
      <c r="L13" s="118">
        <v>50</v>
      </c>
      <c r="M13" s="110"/>
      <c r="N13" s="116"/>
      <c r="O13" s="112">
        <v>62.19</v>
      </c>
      <c r="P13" s="108"/>
      <c r="Q13" s="115">
        <v>4247</v>
      </c>
    </row>
    <row r="14" spans="1:17" x14ac:dyDescent="0.25">
      <c r="A14" s="22">
        <v>20172</v>
      </c>
      <c r="B14" s="87">
        <v>3</v>
      </c>
      <c r="C14" s="223" t="str">
        <f t="shared" si="0"/>
        <v>3_20172</v>
      </c>
      <c r="D14" s="99">
        <v>100</v>
      </c>
      <c r="E14" s="110"/>
      <c r="F14" s="101">
        <v>7304</v>
      </c>
      <c r="G14" s="110"/>
      <c r="H14" s="99">
        <v>100</v>
      </c>
      <c r="I14" s="110"/>
      <c r="J14" s="119">
        <v>11295</v>
      </c>
      <c r="K14" s="116"/>
      <c r="L14" s="99">
        <v>100</v>
      </c>
      <c r="M14" s="110"/>
      <c r="N14" s="116"/>
      <c r="O14" s="99">
        <v>62.28</v>
      </c>
      <c r="P14" s="110"/>
      <c r="Q14" s="111">
        <v>4574</v>
      </c>
    </row>
    <row r="15" spans="1:17" x14ac:dyDescent="0.25">
      <c r="A15" s="22">
        <v>20173</v>
      </c>
      <c r="B15" s="87">
        <v>3</v>
      </c>
      <c r="C15" s="223" t="str">
        <f t="shared" si="0"/>
        <v>3_20173</v>
      </c>
      <c r="D15" s="99">
        <v>100</v>
      </c>
      <c r="E15" s="100">
        <v>90.9</v>
      </c>
      <c r="F15" s="101">
        <v>7117</v>
      </c>
      <c r="G15" s="110"/>
      <c r="H15" s="99">
        <v>100</v>
      </c>
      <c r="I15" s="100"/>
      <c r="J15" s="119">
        <v>11495</v>
      </c>
      <c r="K15" s="116"/>
      <c r="L15" s="99">
        <v>100</v>
      </c>
      <c r="M15" s="110"/>
      <c r="N15" s="116"/>
      <c r="O15" s="99">
        <v>65.599999999999994</v>
      </c>
      <c r="P15" s="100">
        <v>64.599999999999994</v>
      </c>
      <c r="Q15" s="111">
        <v>4160</v>
      </c>
    </row>
    <row r="16" spans="1:17" x14ac:dyDescent="0.25">
      <c r="A16" s="22">
        <v>20174</v>
      </c>
      <c r="B16" s="87">
        <v>3</v>
      </c>
      <c r="C16" s="223" t="str">
        <f t="shared" si="0"/>
        <v>3_20174</v>
      </c>
      <c r="D16" s="99">
        <v>100</v>
      </c>
      <c r="E16" s="100">
        <v>94.7</v>
      </c>
      <c r="F16" s="101">
        <v>7304</v>
      </c>
      <c r="G16" s="14">
        <v>94.7</v>
      </c>
      <c r="H16" s="99">
        <v>100</v>
      </c>
      <c r="I16" s="100">
        <v>100</v>
      </c>
      <c r="J16" s="119">
        <v>11495</v>
      </c>
      <c r="K16" s="212">
        <v>100</v>
      </c>
      <c r="L16" s="99">
        <v>96.6</v>
      </c>
      <c r="M16" s="100">
        <v>77.8</v>
      </c>
      <c r="N16" s="212">
        <v>88.9</v>
      </c>
      <c r="O16" s="99">
        <v>67.8</v>
      </c>
      <c r="P16" s="100">
        <v>67.7</v>
      </c>
      <c r="Q16" s="111">
        <v>4271</v>
      </c>
    </row>
    <row r="17" spans="1:17" ht="15.75" thickBot="1" x14ac:dyDescent="0.3">
      <c r="A17" s="213">
        <v>20181</v>
      </c>
      <c r="B17" s="54">
        <v>3</v>
      </c>
      <c r="C17" s="224" t="str">
        <f t="shared" si="0"/>
        <v>3_20181</v>
      </c>
      <c r="D17" s="99">
        <v>100</v>
      </c>
      <c r="E17" s="100">
        <v>97.2</v>
      </c>
      <c r="F17" s="101">
        <v>7421</v>
      </c>
      <c r="G17" s="93">
        <v>96.7</v>
      </c>
      <c r="H17" s="102">
        <v>100</v>
      </c>
      <c r="I17" s="103">
        <v>100</v>
      </c>
      <c r="J17" s="104">
        <v>11495</v>
      </c>
      <c r="K17" s="95">
        <v>100</v>
      </c>
      <c r="L17" s="106">
        <v>88.9</v>
      </c>
      <c r="M17" s="105">
        <v>78.900000000000006</v>
      </c>
      <c r="N17" s="226">
        <v>89.5</v>
      </c>
      <c r="O17" s="106">
        <v>68.400000000000006</v>
      </c>
      <c r="P17" s="105">
        <v>68.099999999999994</v>
      </c>
      <c r="Q17" s="98">
        <v>4223</v>
      </c>
    </row>
    <row r="18" spans="1:17" x14ac:dyDescent="0.25">
      <c r="A18" s="20">
        <v>20171</v>
      </c>
      <c r="B18" s="21">
        <v>4</v>
      </c>
      <c r="C18" s="222" t="str">
        <f t="shared" si="0"/>
        <v>4_20171</v>
      </c>
      <c r="D18" s="112">
        <v>89.74</v>
      </c>
      <c r="E18" s="108"/>
      <c r="F18" s="113">
        <v>7674</v>
      </c>
      <c r="G18" s="108"/>
      <c r="H18" s="112">
        <v>66.67</v>
      </c>
      <c r="I18" s="108"/>
      <c r="J18" s="113">
        <v>11594</v>
      </c>
      <c r="K18" s="114"/>
      <c r="L18" s="118">
        <v>95.45</v>
      </c>
      <c r="M18" s="110"/>
      <c r="N18" s="116"/>
      <c r="O18" s="112">
        <v>68.19</v>
      </c>
      <c r="P18" s="108"/>
      <c r="Q18" s="115">
        <v>4529</v>
      </c>
    </row>
    <row r="19" spans="1:17" x14ac:dyDescent="0.25">
      <c r="A19" s="22">
        <v>20172</v>
      </c>
      <c r="B19" s="87">
        <v>4</v>
      </c>
      <c r="C19" s="223" t="str">
        <f t="shared" si="0"/>
        <v>4_20172</v>
      </c>
      <c r="D19" s="99">
        <v>94</v>
      </c>
      <c r="E19" s="110"/>
      <c r="F19" s="101">
        <v>7674</v>
      </c>
      <c r="G19" s="110"/>
      <c r="H19" s="99">
        <v>83.3</v>
      </c>
      <c r="I19" s="110"/>
      <c r="J19" s="119">
        <v>11424</v>
      </c>
      <c r="K19" s="116"/>
      <c r="L19" s="99">
        <v>93.3</v>
      </c>
      <c r="M19" s="110"/>
      <c r="N19" s="116"/>
      <c r="O19" s="99">
        <v>68.16</v>
      </c>
      <c r="P19" s="110"/>
      <c r="Q19" s="111">
        <v>5116</v>
      </c>
    </row>
    <row r="20" spans="1:17" x14ac:dyDescent="0.25">
      <c r="A20" s="22">
        <v>20173</v>
      </c>
      <c r="B20" s="87">
        <v>4</v>
      </c>
      <c r="C20" s="223" t="str">
        <f t="shared" si="0"/>
        <v>4_20173</v>
      </c>
      <c r="D20" s="99">
        <v>95.2</v>
      </c>
      <c r="E20" s="100">
        <v>92.3</v>
      </c>
      <c r="F20" s="101">
        <v>7859</v>
      </c>
      <c r="G20" s="110"/>
      <c r="H20" s="99">
        <v>75</v>
      </c>
      <c r="I20" s="100">
        <v>100</v>
      </c>
      <c r="J20" s="119">
        <v>11595</v>
      </c>
      <c r="K20" s="116"/>
      <c r="L20" s="99">
        <v>94.9</v>
      </c>
      <c r="M20" s="110"/>
      <c r="N20" s="116"/>
      <c r="O20" s="99">
        <v>70.5</v>
      </c>
      <c r="P20" s="100">
        <v>68.7</v>
      </c>
      <c r="Q20" s="111">
        <v>4669</v>
      </c>
    </row>
    <row r="21" spans="1:17" x14ac:dyDescent="0.25">
      <c r="A21" s="22">
        <v>20174</v>
      </c>
      <c r="B21" s="87">
        <v>4</v>
      </c>
      <c r="C21" s="223" t="str">
        <f t="shared" si="0"/>
        <v>4_20174</v>
      </c>
      <c r="D21" s="99">
        <v>95.5</v>
      </c>
      <c r="E21" s="100">
        <v>91.6</v>
      </c>
      <c r="F21" s="101">
        <v>8057</v>
      </c>
      <c r="G21" s="14">
        <v>86.5</v>
      </c>
      <c r="H21" s="99">
        <v>81.8</v>
      </c>
      <c r="I21" s="100">
        <v>100</v>
      </c>
      <c r="J21" s="119">
        <v>10373</v>
      </c>
      <c r="K21" s="212">
        <v>100</v>
      </c>
      <c r="L21" s="99">
        <v>94.3</v>
      </c>
      <c r="M21" s="100">
        <v>83.3</v>
      </c>
      <c r="N21" s="212">
        <v>100</v>
      </c>
      <c r="O21" s="99">
        <v>71.3</v>
      </c>
      <c r="P21" s="100">
        <v>70.2</v>
      </c>
      <c r="Q21" s="111">
        <v>4856</v>
      </c>
    </row>
    <row r="22" spans="1:17" ht="15.75" thickBot="1" x14ac:dyDescent="0.3">
      <c r="A22" s="213">
        <v>20181</v>
      </c>
      <c r="B22" s="54">
        <v>4</v>
      </c>
      <c r="C22" s="224" t="str">
        <f t="shared" si="0"/>
        <v>4_20181</v>
      </c>
      <c r="D22" s="102">
        <v>97.3</v>
      </c>
      <c r="E22" s="103">
        <v>91.1</v>
      </c>
      <c r="F22" s="107">
        <v>8402</v>
      </c>
      <c r="G22" s="93">
        <v>77.099999999999994</v>
      </c>
      <c r="H22" s="102">
        <v>90.9</v>
      </c>
      <c r="I22" s="103">
        <v>87.5</v>
      </c>
      <c r="J22" s="104">
        <v>8228</v>
      </c>
      <c r="K22" s="95">
        <v>100</v>
      </c>
      <c r="L22" s="106">
        <v>92.3</v>
      </c>
      <c r="M22" s="105">
        <v>84.6</v>
      </c>
      <c r="N22" s="226">
        <v>100</v>
      </c>
      <c r="O22" s="106">
        <v>71</v>
      </c>
      <c r="P22" s="105">
        <v>69.599999999999994</v>
      </c>
      <c r="Q22" s="98">
        <v>5016</v>
      </c>
    </row>
    <row r="23" spans="1:17" x14ac:dyDescent="0.25">
      <c r="A23" s="20">
        <v>20171</v>
      </c>
      <c r="B23" s="21">
        <v>5</v>
      </c>
      <c r="C23" s="222" t="str">
        <f t="shared" si="0"/>
        <v>5_20171</v>
      </c>
      <c r="D23" s="112">
        <v>63.64</v>
      </c>
      <c r="E23" s="108"/>
      <c r="F23" s="113">
        <v>9847</v>
      </c>
      <c r="G23" s="108"/>
      <c r="H23" s="112">
        <v>75</v>
      </c>
      <c r="I23" s="108"/>
      <c r="J23" s="113">
        <v>7499</v>
      </c>
      <c r="K23" s="114"/>
      <c r="L23" s="118">
        <v>66.67</v>
      </c>
      <c r="M23" s="110"/>
      <c r="N23" s="116"/>
      <c r="O23" s="112">
        <v>57.54</v>
      </c>
      <c r="P23" s="108"/>
      <c r="Q23" s="115">
        <v>4150</v>
      </c>
    </row>
    <row r="24" spans="1:17" x14ac:dyDescent="0.25">
      <c r="A24" s="22">
        <v>20172</v>
      </c>
      <c r="B24" s="87">
        <v>5</v>
      </c>
      <c r="C24" s="223" t="str">
        <f t="shared" si="0"/>
        <v>5_20172</v>
      </c>
      <c r="D24" s="99">
        <v>84.6</v>
      </c>
      <c r="E24" s="110"/>
      <c r="F24" s="101">
        <v>8638</v>
      </c>
      <c r="G24" s="110"/>
      <c r="H24" s="99">
        <v>83.3</v>
      </c>
      <c r="I24" s="110"/>
      <c r="J24" s="119">
        <v>7499</v>
      </c>
      <c r="K24" s="116"/>
      <c r="L24" s="99">
        <v>64.3</v>
      </c>
      <c r="M24" s="110"/>
      <c r="N24" s="116"/>
      <c r="O24" s="99">
        <v>60.38</v>
      </c>
      <c r="P24" s="110"/>
      <c r="Q24" s="111">
        <v>4856</v>
      </c>
    </row>
    <row r="25" spans="1:17" x14ac:dyDescent="0.25">
      <c r="A25" s="22">
        <v>20173</v>
      </c>
      <c r="B25" s="87">
        <v>5</v>
      </c>
      <c r="C25" s="223" t="str">
        <f t="shared" si="0"/>
        <v>5_20173</v>
      </c>
      <c r="D25" s="99">
        <v>90.2</v>
      </c>
      <c r="E25" s="100">
        <v>90.9</v>
      </c>
      <c r="F25" s="101">
        <v>7595</v>
      </c>
      <c r="G25" s="110"/>
      <c r="H25" s="99">
        <v>88.9</v>
      </c>
      <c r="I25" s="100">
        <v>75</v>
      </c>
      <c r="J25" s="119">
        <v>5912</v>
      </c>
      <c r="K25" s="116"/>
      <c r="L25" s="99">
        <v>63.6</v>
      </c>
      <c r="M25" s="110"/>
      <c r="N25" s="116"/>
      <c r="O25" s="99">
        <v>61</v>
      </c>
      <c r="P25" s="100">
        <v>60.6</v>
      </c>
      <c r="Q25" s="111">
        <v>4090</v>
      </c>
    </row>
    <row r="26" spans="1:17" x14ac:dyDescent="0.25">
      <c r="A26" s="22">
        <v>20174</v>
      </c>
      <c r="B26" s="87">
        <v>5</v>
      </c>
      <c r="C26" s="223" t="str">
        <f t="shared" si="0"/>
        <v>5_20174</v>
      </c>
      <c r="D26" s="99">
        <v>92.8</v>
      </c>
      <c r="E26" s="100">
        <v>92.3</v>
      </c>
      <c r="F26" s="101">
        <v>8682</v>
      </c>
      <c r="G26" s="14">
        <v>94.1</v>
      </c>
      <c r="H26" s="99">
        <v>84.6</v>
      </c>
      <c r="I26" s="100">
        <v>83.3</v>
      </c>
      <c r="J26" s="119">
        <v>7439</v>
      </c>
      <c r="K26" s="212">
        <v>100</v>
      </c>
      <c r="L26" s="99">
        <v>74.3</v>
      </c>
      <c r="M26" s="100">
        <v>64.3</v>
      </c>
      <c r="N26" s="212">
        <v>100</v>
      </c>
      <c r="O26" s="99">
        <v>62.8</v>
      </c>
      <c r="P26" s="100">
        <v>63.3</v>
      </c>
      <c r="Q26" s="111">
        <v>4146</v>
      </c>
    </row>
    <row r="27" spans="1:17" ht="15.75" thickBot="1" x14ac:dyDescent="0.3">
      <c r="A27" s="213">
        <v>20181</v>
      </c>
      <c r="B27" s="54">
        <v>5</v>
      </c>
      <c r="C27" s="224" t="str">
        <f t="shared" si="0"/>
        <v>5_20181</v>
      </c>
      <c r="D27" s="102">
        <v>92</v>
      </c>
      <c r="E27" s="103">
        <v>90.2</v>
      </c>
      <c r="F27" s="107">
        <v>7691</v>
      </c>
      <c r="G27" s="93">
        <v>96.7</v>
      </c>
      <c r="H27" s="102">
        <v>90.9</v>
      </c>
      <c r="I27" s="103">
        <v>77.8</v>
      </c>
      <c r="J27" s="104">
        <v>6918</v>
      </c>
      <c r="K27" s="95">
        <v>100</v>
      </c>
      <c r="L27" s="106">
        <v>79.400000000000006</v>
      </c>
      <c r="M27" s="105">
        <v>68.2</v>
      </c>
      <c r="N27" s="226">
        <v>77.8</v>
      </c>
      <c r="O27" s="106">
        <v>65</v>
      </c>
      <c r="P27" s="105">
        <v>63</v>
      </c>
      <c r="Q27" s="98">
        <v>4133</v>
      </c>
    </row>
    <row r="28" spans="1:17" x14ac:dyDescent="0.25">
      <c r="A28" s="20">
        <v>20171</v>
      </c>
      <c r="B28" s="21">
        <v>6</v>
      </c>
      <c r="C28" s="222" t="str">
        <f t="shared" si="0"/>
        <v>6_20171</v>
      </c>
      <c r="D28" s="112">
        <v>82.35</v>
      </c>
      <c r="E28" s="108"/>
      <c r="F28" s="113">
        <v>11208</v>
      </c>
      <c r="G28" s="108"/>
      <c r="H28" s="112"/>
      <c r="I28" s="108"/>
      <c r="J28" s="113"/>
      <c r="K28" s="114"/>
      <c r="L28" s="118">
        <v>50</v>
      </c>
      <c r="M28" s="110"/>
      <c r="N28" s="116"/>
      <c r="O28" s="112">
        <v>59.64</v>
      </c>
      <c r="P28" s="108"/>
      <c r="Q28" s="115">
        <v>4268</v>
      </c>
    </row>
    <row r="29" spans="1:17" x14ac:dyDescent="0.25">
      <c r="A29" s="22">
        <v>20172</v>
      </c>
      <c r="B29" s="87">
        <v>6</v>
      </c>
      <c r="C29" s="223" t="str">
        <f t="shared" si="0"/>
        <v>6_20172</v>
      </c>
      <c r="D29" s="99">
        <v>93.1</v>
      </c>
      <c r="E29" s="110"/>
      <c r="F29" s="101">
        <v>11960</v>
      </c>
      <c r="G29" s="110"/>
      <c r="H29" s="99">
        <v>100</v>
      </c>
      <c r="I29" s="110"/>
      <c r="J29" s="119">
        <v>7955</v>
      </c>
      <c r="K29" s="116"/>
      <c r="L29" s="99">
        <v>71.400000000000006</v>
      </c>
      <c r="M29" s="110"/>
      <c r="N29" s="116"/>
      <c r="O29" s="99">
        <v>60.96</v>
      </c>
      <c r="P29" s="110"/>
      <c r="Q29" s="111">
        <v>4822</v>
      </c>
    </row>
    <row r="30" spans="1:17" x14ac:dyDescent="0.25">
      <c r="A30" s="22">
        <v>20173</v>
      </c>
      <c r="B30" s="87">
        <v>6</v>
      </c>
      <c r="C30" s="223" t="str">
        <f t="shared" si="0"/>
        <v>6_20173</v>
      </c>
      <c r="D30" s="99">
        <v>92.3</v>
      </c>
      <c r="E30" s="100">
        <v>100</v>
      </c>
      <c r="F30" s="101">
        <v>11209</v>
      </c>
      <c r="G30" s="110"/>
      <c r="H30" s="99">
        <v>100</v>
      </c>
      <c r="I30" s="100"/>
      <c r="J30" s="119">
        <v>8062</v>
      </c>
      <c r="K30" s="116"/>
      <c r="L30" s="99">
        <v>74.3</v>
      </c>
      <c r="M30" s="110"/>
      <c r="N30" s="116"/>
      <c r="O30" s="99">
        <v>67.7</v>
      </c>
      <c r="P30" s="100">
        <v>67.2</v>
      </c>
      <c r="Q30" s="111">
        <v>4101</v>
      </c>
    </row>
    <row r="31" spans="1:17" x14ac:dyDescent="0.25">
      <c r="A31" s="22">
        <v>20174</v>
      </c>
      <c r="B31" s="87">
        <v>6</v>
      </c>
      <c r="C31" s="223" t="str">
        <f t="shared" si="0"/>
        <v>6_20174</v>
      </c>
      <c r="D31" s="99">
        <v>95.3</v>
      </c>
      <c r="E31" s="100">
        <v>93.1</v>
      </c>
      <c r="F31" s="101">
        <v>9710</v>
      </c>
      <c r="G31" s="14">
        <v>92.3</v>
      </c>
      <c r="H31" s="99">
        <v>100</v>
      </c>
      <c r="I31" s="100">
        <v>100</v>
      </c>
      <c r="J31" s="119">
        <v>8169</v>
      </c>
      <c r="K31" s="212">
        <v>100</v>
      </c>
      <c r="L31" s="99">
        <v>75.7</v>
      </c>
      <c r="M31" s="100">
        <v>78.599999999999994</v>
      </c>
      <c r="N31" s="212">
        <v>68</v>
      </c>
      <c r="O31" s="99">
        <v>68.599999999999994</v>
      </c>
      <c r="P31" s="100">
        <v>67.599999999999994</v>
      </c>
      <c r="Q31" s="111">
        <v>4302</v>
      </c>
    </row>
    <row r="32" spans="1:17" ht="15.75" thickBot="1" x14ac:dyDescent="0.3">
      <c r="A32" s="213">
        <v>20181</v>
      </c>
      <c r="B32" s="54">
        <v>6</v>
      </c>
      <c r="C32" s="224" t="str">
        <f t="shared" si="0"/>
        <v>6_20181</v>
      </c>
      <c r="D32" s="102">
        <v>96.6</v>
      </c>
      <c r="E32" s="103">
        <v>92.3</v>
      </c>
      <c r="F32" s="107">
        <v>8558</v>
      </c>
      <c r="G32" s="93">
        <v>88.9</v>
      </c>
      <c r="H32" s="102">
        <v>100</v>
      </c>
      <c r="I32" s="103">
        <v>80</v>
      </c>
      <c r="J32" s="104">
        <v>8177</v>
      </c>
      <c r="K32" s="95">
        <v>100</v>
      </c>
      <c r="L32" s="106">
        <v>84.2</v>
      </c>
      <c r="M32" s="105">
        <v>77.099999999999994</v>
      </c>
      <c r="N32" s="226">
        <v>56.3</v>
      </c>
      <c r="O32" s="106">
        <v>68.7</v>
      </c>
      <c r="P32" s="105">
        <v>67.2</v>
      </c>
      <c r="Q32" s="98">
        <v>4340</v>
      </c>
    </row>
    <row r="33" spans="1:17" x14ac:dyDescent="0.25">
      <c r="A33" s="20">
        <v>20171</v>
      </c>
      <c r="B33" s="21">
        <v>7</v>
      </c>
      <c r="C33" s="222" t="str">
        <f t="shared" si="0"/>
        <v>7_20171</v>
      </c>
      <c r="D33" s="112">
        <v>100</v>
      </c>
      <c r="E33" s="108"/>
      <c r="F33" s="113">
        <v>12038</v>
      </c>
      <c r="G33" s="108"/>
      <c r="H33" s="112"/>
      <c r="I33" s="108"/>
      <c r="J33" s="113"/>
      <c r="K33" s="114"/>
      <c r="L33" s="118">
        <v>75</v>
      </c>
      <c r="M33" s="110"/>
      <c r="N33" s="116"/>
      <c r="O33" s="112">
        <v>68.2</v>
      </c>
      <c r="P33" s="108"/>
      <c r="Q33" s="115">
        <v>3872</v>
      </c>
    </row>
    <row r="34" spans="1:17" x14ac:dyDescent="0.25">
      <c r="A34" s="22">
        <v>20172</v>
      </c>
      <c r="B34" s="87">
        <v>7</v>
      </c>
      <c r="C34" s="223" t="str">
        <f t="shared" si="0"/>
        <v>7_20172</v>
      </c>
      <c r="D34" s="99">
        <v>95.2</v>
      </c>
      <c r="E34" s="110"/>
      <c r="F34" s="101">
        <v>10358</v>
      </c>
      <c r="G34" s="110"/>
      <c r="H34" s="99"/>
      <c r="I34" s="110"/>
      <c r="J34" s="119"/>
      <c r="K34" s="116"/>
      <c r="L34" s="99">
        <v>82.4</v>
      </c>
      <c r="M34" s="110"/>
      <c r="N34" s="116"/>
      <c r="O34" s="99">
        <v>63.92</v>
      </c>
      <c r="P34" s="110"/>
      <c r="Q34" s="111">
        <v>4677</v>
      </c>
    </row>
    <row r="35" spans="1:17" x14ac:dyDescent="0.25">
      <c r="A35" s="22">
        <v>20173</v>
      </c>
      <c r="B35" s="87">
        <v>7</v>
      </c>
      <c r="C35" s="223" t="str">
        <f t="shared" si="0"/>
        <v>7_20173</v>
      </c>
      <c r="D35" s="99">
        <v>95.8</v>
      </c>
      <c r="E35" s="100">
        <v>100</v>
      </c>
      <c r="F35" s="101">
        <v>10206</v>
      </c>
      <c r="G35" s="110"/>
      <c r="H35" s="99"/>
      <c r="I35" s="100"/>
      <c r="J35" s="119"/>
      <c r="K35" s="116"/>
      <c r="L35" s="99">
        <v>86.7</v>
      </c>
      <c r="M35" s="110"/>
      <c r="N35" s="116"/>
      <c r="O35" s="99">
        <v>64.8</v>
      </c>
      <c r="P35" s="100">
        <v>66.3</v>
      </c>
      <c r="Q35" s="111">
        <v>3848</v>
      </c>
    </row>
    <row r="36" spans="1:17" x14ac:dyDescent="0.25">
      <c r="A36" s="22">
        <v>20174</v>
      </c>
      <c r="B36" s="87">
        <v>7</v>
      </c>
      <c r="C36" s="223" t="str">
        <f t="shared" si="0"/>
        <v>7_20174</v>
      </c>
      <c r="D36" s="99">
        <v>96.8</v>
      </c>
      <c r="E36" s="100">
        <v>90.5</v>
      </c>
      <c r="F36" s="101">
        <v>10151</v>
      </c>
      <c r="G36" s="14">
        <v>90</v>
      </c>
      <c r="H36" s="99">
        <v>100</v>
      </c>
      <c r="I36" s="100"/>
      <c r="J36" s="119">
        <v>9826</v>
      </c>
      <c r="K36" s="117"/>
      <c r="L36" s="99">
        <v>83.6</v>
      </c>
      <c r="M36" s="100">
        <v>79.400000000000006</v>
      </c>
      <c r="N36" s="212">
        <v>64.7</v>
      </c>
      <c r="O36" s="99">
        <v>66.400000000000006</v>
      </c>
      <c r="P36" s="100">
        <v>66.400000000000006</v>
      </c>
      <c r="Q36" s="111">
        <v>3900</v>
      </c>
    </row>
    <row r="37" spans="1:17" ht="15.75" thickBot="1" x14ac:dyDescent="0.3">
      <c r="A37" s="213">
        <v>20181</v>
      </c>
      <c r="B37" s="54">
        <v>7</v>
      </c>
      <c r="C37" s="224" t="str">
        <f t="shared" si="0"/>
        <v>7_20181</v>
      </c>
      <c r="D37" s="102">
        <v>97.4</v>
      </c>
      <c r="E37" s="103">
        <v>91.7</v>
      </c>
      <c r="F37" s="107">
        <v>8348</v>
      </c>
      <c r="G37" s="93">
        <v>78.3</v>
      </c>
      <c r="H37" s="102">
        <v>100</v>
      </c>
      <c r="I37" s="103">
        <v>0</v>
      </c>
      <c r="J37" s="104">
        <v>9826</v>
      </c>
      <c r="K37" s="95">
        <v>0</v>
      </c>
      <c r="L37" s="106">
        <v>81.7</v>
      </c>
      <c r="M37" s="105">
        <v>78.400000000000006</v>
      </c>
      <c r="N37" s="226">
        <v>58</v>
      </c>
      <c r="O37" s="106">
        <v>65.900000000000006</v>
      </c>
      <c r="P37" s="105">
        <v>65.2</v>
      </c>
      <c r="Q37" s="98">
        <v>3987</v>
      </c>
    </row>
    <row r="38" spans="1:17" x14ac:dyDescent="0.25">
      <c r="A38" s="20">
        <v>20171</v>
      </c>
      <c r="B38" s="21">
        <v>8</v>
      </c>
      <c r="C38" s="222" t="str">
        <f t="shared" si="0"/>
        <v>8_20171</v>
      </c>
      <c r="D38" s="112">
        <v>96.13</v>
      </c>
      <c r="E38" s="108"/>
      <c r="F38" s="113">
        <v>12830</v>
      </c>
      <c r="G38" s="108"/>
      <c r="H38" s="112">
        <v>93.75</v>
      </c>
      <c r="I38" s="108"/>
      <c r="J38" s="113">
        <v>9203</v>
      </c>
      <c r="K38" s="114"/>
      <c r="L38" s="118">
        <v>80.3</v>
      </c>
      <c r="M38" s="110"/>
      <c r="N38" s="116"/>
      <c r="O38" s="112">
        <v>69.06</v>
      </c>
      <c r="P38" s="108"/>
      <c r="Q38" s="115">
        <v>4747</v>
      </c>
    </row>
    <row r="39" spans="1:17" x14ac:dyDescent="0.25">
      <c r="A39" s="22">
        <v>20172</v>
      </c>
      <c r="B39" s="87">
        <v>8</v>
      </c>
      <c r="C39" s="223" t="str">
        <f t="shared" si="0"/>
        <v>8_20172</v>
      </c>
      <c r="D39" s="99">
        <v>97</v>
      </c>
      <c r="E39" s="110"/>
      <c r="F39" s="101">
        <v>12523</v>
      </c>
      <c r="G39" s="110"/>
      <c r="H39" s="99">
        <v>84.6</v>
      </c>
      <c r="I39" s="110"/>
      <c r="J39" s="119">
        <v>8602</v>
      </c>
      <c r="K39" s="116"/>
      <c r="L39" s="99">
        <v>81.599999999999994</v>
      </c>
      <c r="M39" s="110"/>
      <c r="N39" s="116"/>
      <c r="O39" s="99">
        <v>68.22</v>
      </c>
      <c r="P39" s="110"/>
      <c r="Q39" s="111">
        <v>5948</v>
      </c>
    </row>
    <row r="40" spans="1:17" x14ac:dyDescent="0.25">
      <c r="A40" s="22">
        <v>20173</v>
      </c>
      <c r="B40" s="87">
        <v>8</v>
      </c>
      <c r="C40" s="223" t="str">
        <f t="shared" si="0"/>
        <v>8_20173</v>
      </c>
      <c r="D40" s="99">
        <v>97.6</v>
      </c>
      <c r="E40" s="100">
        <v>96.7</v>
      </c>
      <c r="F40" s="101">
        <v>12944</v>
      </c>
      <c r="G40" s="110"/>
      <c r="H40" s="99">
        <v>86.7</v>
      </c>
      <c r="I40" s="100">
        <v>93.8</v>
      </c>
      <c r="J40" s="119">
        <v>8218</v>
      </c>
      <c r="K40" s="116"/>
      <c r="L40" s="99">
        <v>85</v>
      </c>
      <c r="M40" s="110"/>
      <c r="N40" s="116"/>
      <c r="O40" s="99">
        <v>71.7</v>
      </c>
      <c r="P40" s="100">
        <v>72.8</v>
      </c>
      <c r="Q40" s="111">
        <v>6043</v>
      </c>
    </row>
    <row r="41" spans="1:17" x14ac:dyDescent="0.25">
      <c r="A41" s="22">
        <v>20174</v>
      </c>
      <c r="B41" s="87">
        <v>8</v>
      </c>
      <c r="C41" s="223" t="str">
        <f t="shared" si="0"/>
        <v>8_20174</v>
      </c>
      <c r="D41" s="99">
        <v>97.9</v>
      </c>
      <c r="E41" s="100">
        <v>95.8</v>
      </c>
      <c r="F41" s="101">
        <v>12501</v>
      </c>
      <c r="G41" s="14">
        <v>89.6</v>
      </c>
      <c r="H41" s="99">
        <v>85.7</v>
      </c>
      <c r="I41" s="100">
        <v>88.5</v>
      </c>
      <c r="J41" s="119">
        <v>8107</v>
      </c>
      <c r="K41" s="212">
        <v>88</v>
      </c>
      <c r="L41" s="99">
        <v>84.8</v>
      </c>
      <c r="M41" s="100">
        <v>80.900000000000006</v>
      </c>
      <c r="N41" s="212">
        <v>89.6</v>
      </c>
      <c r="O41" s="99">
        <v>72.8</v>
      </c>
      <c r="P41" s="100">
        <v>73.900000000000006</v>
      </c>
      <c r="Q41" s="111">
        <v>5950</v>
      </c>
    </row>
    <row r="42" spans="1:17" ht="15.75" thickBot="1" x14ac:dyDescent="0.3">
      <c r="A42" s="213">
        <v>20181</v>
      </c>
      <c r="B42" s="54">
        <v>8</v>
      </c>
      <c r="C42" s="224" t="str">
        <f t="shared" si="0"/>
        <v>8_20181</v>
      </c>
      <c r="D42" s="102">
        <v>98</v>
      </c>
      <c r="E42" s="103">
        <v>96.9</v>
      </c>
      <c r="F42" s="107">
        <v>12422</v>
      </c>
      <c r="G42" s="93">
        <v>90.1</v>
      </c>
      <c r="H42" s="102">
        <v>84.8</v>
      </c>
      <c r="I42" s="103">
        <v>86.7</v>
      </c>
      <c r="J42" s="104">
        <v>7023</v>
      </c>
      <c r="K42" s="95">
        <v>82.8</v>
      </c>
      <c r="L42" s="106">
        <v>85.7</v>
      </c>
      <c r="M42" s="105">
        <v>83.4</v>
      </c>
      <c r="N42" s="226">
        <v>85.4</v>
      </c>
      <c r="O42" s="106">
        <v>71.7</v>
      </c>
      <c r="P42" s="105">
        <v>72.400000000000006</v>
      </c>
      <c r="Q42" s="98">
        <v>5564</v>
      </c>
    </row>
    <row r="43" spans="1:17" x14ac:dyDescent="0.25">
      <c r="A43" s="20">
        <v>20171</v>
      </c>
      <c r="B43" s="21">
        <v>9</v>
      </c>
      <c r="C43" s="222" t="str">
        <f t="shared" si="0"/>
        <v>9_20171</v>
      </c>
      <c r="D43" s="112">
        <v>75</v>
      </c>
      <c r="E43" s="108"/>
      <c r="F43" s="113">
        <v>12916</v>
      </c>
      <c r="G43" s="108"/>
      <c r="H43" s="112"/>
      <c r="I43" s="108"/>
      <c r="J43" s="113"/>
      <c r="K43" s="114"/>
      <c r="L43" s="118">
        <v>61.54</v>
      </c>
      <c r="M43" s="110"/>
      <c r="N43" s="116"/>
      <c r="O43" s="112">
        <v>70.38</v>
      </c>
      <c r="P43" s="108"/>
      <c r="Q43" s="115">
        <v>4901</v>
      </c>
    </row>
    <row r="44" spans="1:17" x14ac:dyDescent="0.25">
      <c r="A44" s="22">
        <v>20172</v>
      </c>
      <c r="B44" s="87">
        <v>9</v>
      </c>
      <c r="C44" s="223" t="str">
        <f t="shared" si="0"/>
        <v>9_20172</v>
      </c>
      <c r="D44" s="99">
        <v>87.5</v>
      </c>
      <c r="E44" s="110"/>
      <c r="F44" s="101">
        <v>11861</v>
      </c>
      <c r="G44" s="110"/>
      <c r="H44" s="99"/>
      <c r="I44" s="110"/>
      <c r="J44" s="119"/>
      <c r="K44" s="116"/>
      <c r="L44" s="99">
        <v>80</v>
      </c>
      <c r="M44" s="110"/>
      <c r="N44" s="116"/>
      <c r="O44" s="99">
        <v>71.67</v>
      </c>
      <c r="P44" s="110"/>
      <c r="Q44" s="111">
        <v>5492</v>
      </c>
    </row>
    <row r="45" spans="1:17" x14ac:dyDescent="0.25">
      <c r="A45" s="22">
        <v>20173</v>
      </c>
      <c r="B45" s="87">
        <v>9</v>
      </c>
      <c r="C45" s="223" t="str">
        <f t="shared" si="0"/>
        <v>9_20173</v>
      </c>
      <c r="D45" s="99">
        <v>93</v>
      </c>
      <c r="E45" s="100">
        <v>91.7</v>
      </c>
      <c r="F45" s="101">
        <v>11980</v>
      </c>
      <c r="G45" s="110"/>
      <c r="H45" s="99">
        <v>66.7</v>
      </c>
      <c r="I45" s="100">
        <v>100</v>
      </c>
      <c r="J45" s="119">
        <v>11653</v>
      </c>
      <c r="K45" s="116"/>
      <c r="L45" s="99">
        <v>81</v>
      </c>
      <c r="M45" s="110"/>
      <c r="N45" s="116"/>
      <c r="O45" s="99">
        <v>75.400000000000006</v>
      </c>
      <c r="P45" s="100">
        <v>71.400000000000006</v>
      </c>
      <c r="Q45" s="111">
        <v>4843</v>
      </c>
    </row>
    <row r="46" spans="1:17" x14ac:dyDescent="0.25">
      <c r="A46" s="22">
        <v>20174</v>
      </c>
      <c r="B46" s="87">
        <v>9</v>
      </c>
      <c r="C46" s="223" t="str">
        <f t="shared" si="0"/>
        <v>9_20174</v>
      </c>
      <c r="D46" s="99">
        <v>89.6</v>
      </c>
      <c r="E46" s="100">
        <v>95.8</v>
      </c>
      <c r="F46" s="101">
        <v>10000</v>
      </c>
      <c r="G46" s="14">
        <v>80</v>
      </c>
      <c r="H46" s="99">
        <v>60</v>
      </c>
      <c r="I46" s="100">
        <v>100</v>
      </c>
      <c r="J46" s="119">
        <v>11566</v>
      </c>
      <c r="K46" s="117"/>
      <c r="L46" s="99">
        <v>88.5</v>
      </c>
      <c r="M46" s="100">
        <v>85.7</v>
      </c>
      <c r="N46" s="212">
        <v>90.5</v>
      </c>
      <c r="O46" s="99">
        <v>76.2</v>
      </c>
      <c r="P46" s="100">
        <v>73.099999999999994</v>
      </c>
      <c r="Q46" s="111">
        <v>4956</v>
      </c>
    </row>
    <row r="47" spans="1:17" ht="15.75" thickBot="1" x14ac:dyDescent="0.3">
      <c r="A47" s="213">
        <v>20181</v>
      </c>
      <c r="B47" s="54">
        <v>9</v>
      </c>
      <c r="C47" s="224" t="str">
        <f t="shared" si="0"/>
        <v>9_20181</v>
      </c>
      <c r="D47" s="102">
        <v>93.1</v>
      </c>
      <c r="E47" s="103">
        <v>95.8</v>
      </c>
      <c r="F47" s="107">
        <v>9853</v>
      </c>
      <c r="G47" s="93">
        <v>86.8</v>
      </c>
      <c r="H47" s="102">
        <v>75</v>
      </c>
      <c r="I47" s="103">
        <v>100</v>
      </c>
      <c r="J47" s="104">
        <v>11566</v>
      </c>
      <c r="K47" s="95">
        <v>100</v>
      </c>
      <c r="L47" s="106">
        <v>76.400000000000006</v>
      </c>
      <c r="M47" s="105">
        <v>80</v>
      </c>
      <c r="N47" s="226">
        <v>92</v>
      </c>
      <c r="O47" s="106">
        <v>77.8</v>
      </c>
      <c r="P47" s="105">
        <v>73.599999999999994</v>
      </c>
      <c r="Q47" s="98">
        <v>4872</v>
      </c>
    </row>
    <row r="48" spans="1:17" x14ac:dyDescent="0.25">
      <c r="A48" s="20">
        <v>20171</v>
      </c>
      <c r="B48" s="21">
        <v>10</v>
      </c>
      <c r="C48" s="222" t="str">
        <f t="shared" si="0"/>
        <v>10_20171</v>
      </c>
      <c r="D48" s="112">
        <v>85</v>
      </c>
      <c r="E48" s="108"/>
      <c r="F48" s="113">
        <v>5403</v>
      </c>
      <c r="G48" s="108"/>
      <c r="H48" s="112">
        <v>75</v>
      </c>
      <c r="I48" s="108"/>
      <c r="J48" s="113">
        <v>11913</v>
      </c>
      <c r="K48" s="114"/>
      <c r="L48" s="118">
        <v>72.22</v>
      </c>
      <c r="M48" s="110"/>
      <c r="N48" s="116"/>
      <c r="O48" s="112">
        <v>67.540000000000006</v>
      </c>
      <c r="P48" s="108"/>
      <c r="Q48" s="115">
        <v>4729</v>
      </c>
    </row>
    <row r="49" spans="1:17" x14ac:dyDescent="0.25">
      <c r="A49" s="22">
        <v>20172</v>
      </c>
      <c r="B49" s="87">
        <v>10</v>
      </c>
      <c r="C49" s="223" t="str">
        <f t="shared" si="0"/>
        <v>10_20172</v>
      </c>
      <c r="D49" s="99">
        <v>97.6</v>
      </c>
      <c r="E49" s="110"/>
      <c r="F49" s="101">
        <v>6577</v>
      </c>
      <c r="G49" s="110"/>
      <c r="H49" s="99">
        <v>83.3</v>
      </c>
      <c r="I49" s="110"/>
      <c r="J49" s="119">
        <v>11913</v>
      </c>
      <c r="K49" s="116"/>
      <c r="L49" s="99">
        <v>78.900000000000006</v>
      </c>
      <c r="M49" s="110"/>
      <c r="N49" s="116"/>
      <c r="O49" s="99">
        <v>67.150000000000006</v>
      </c>
      <c r="P49" s="110"/>
      <c r="Q49" s="111">
        <v>5184</v>
      </c>
    </row>
    <row r="50" spans="1:17" x14ac:dyDescent="0.25">
      <c r="A50" s="22">
        <v>20173</v>
      </c>
      <c r="B50" s="87">
        <v>10</v>
      </c>
      <c r="C50" s="223" t="str">
        <f t="shared" si="0"/>
        <v>10_20173</v>
      </c>
      <c r="D50" s="99">
        <v>91.5</v>
      </c>
      <c r="E50" s="100">
        <v>81</v>
      </c>
      <c r="F50" s="101">
        <v>7150</v>
      </c>
      <c r="G50" s="110"/>
      <c r="H50" s="99">
        <v>85.7</v>
      </c>
      <c r="I50" s="100">
        <v>75</v>
      </c>
      <c r="J50" s="119">
        <v>12124</v>
      </c>
      <c r="K50" s="116"/>
      <c r="L50" s="99">
        <v>78.599999999999994</v>
      </c>
      <c r="M50" s="110"/>
      <c r="N50" s="116"/>
      <c r="O50" s="99">
        <v>686.7</v>
      </c>
      <c r="P50" s="100">
        <v>68</v>
      </c>
      <c r="Q50" s="111">
        <v>4834</v>
      </c>
    </row>
    <row r="51" spans="1:17" x14ac:dyDescent="0.25">
      <c r="A51" s="22">
        <v>20174</v>
      </c>
      <c r="B51" s="87">
        <v>10</v>
      </c>
      <c r="C51" s="223" t="str">
        <f t="shared" si="0"/>
        <v>10_20174</v>
      </c>
      <c r="D51" s="99">
        <v>90.7</v>
      </c>
      <c r="E51" s="100">
        <v>90.5</v>
      </c>
      <c r="F51" s="101">
        <v>6361</v>
      </c>
      <c r="G51" s="14">
        <v>90.3</v>
      </c>
      <c r="H51" s="99">
        <v>88.9</v>
      </c>
      <c r="I51" s="100">
        <v>83.3</v>
      </c>
      <c r="J51" s="119">
        <v>12124</v>
      </c>
      <c r="K51" s="212">
        <v>100</v>
      </c>
      <c r="L51" s="99">
        <v>83.5</v>
      </c>
      <c r="M51" s="100">
        <v>68.400000000000006</v>
      </c>
      <c r="N51" s="212">
        <v>89.3</v>
      </c>
      <c r="O51" s="99">
        <v>68.900000000000006</v>
      </c>
      <c r="P51" s="100">
        <v>68.7</v>
      </c>
      <c r="Q51" s="111">
        <v>4890</v>
      </c>
    </row>
    <row r="52" spans="1:17" ht="15.75" thickBot="1" x14ac:dyDescent="0.3">
      <c r="A52" s="213">
        <v>20181</v>
      </c>
      <c r="B52" s="54">
        <v>10</v>
      </c>
      <c r="C52" s="224" t="str">
        <f t="shared" si="0"/>
        <v>10_20181</v>
      </c>
      <c r="D52" s="102">
        <v>90.4</v>
      </c>
      <c r="E52" s="103">
        <v>88.7</v>
      </c>
      <c r="F52" s="107">
        <v>8090</v>
      </c>
      <c r="G52" s="93">
        <v>88.7</v>
      </c>
      <c r="H52" s="102">
        <v>100</v>
      </c>
      <c r="I52" s="103">
        <v>85.7</v>
      </c>
      <c r="J52" s="104">
        <v>11339</v>
      </c>
      <c r="K52" s="95">
        <v>100</v>
      </c>
      <c r="L52" s="106">
        <v>87</v>
      </c>
      <c r="M52" s="105">
        <v>65.900000000000006</v>
      </c>
      <c r="N52" s="226">
        <v>92.8</v>
      </c>
      <c r="O52" s="106">
        <v>66.7</v>
      </c>
      <c r="P52" s="105">
        <v>69</v>
      </c>
      <c r="Q52" s="98">
        <v>4841</v>
      </c>
    </row>
    <row r="53" spans="1:17" x14ac:dyDescent="0.25">
      <c r="A53" s="20">
        <v>20171</v>
      </c>
      <c r="B53" s="21">
        <v>11</v>
      </c>
      <c r="C53" s="222" t="str">
        <f t="shared" si="0"/>
        <v>11_20171</v>
      </c>
      <c r="D53" s="112">
        <v>78</v>
      </c>
      <c r="E53" s="108"/>
      <c r="F53" s="113">
        <v>7110</v>
      </c>
      <c r="G53" s="108"/>
      <c r="H53" s="112">
        <v>71.430000000000007</v>
      </c>
      <c r="I53" s="108"/>
      <c r="J53" s="113">
        <v>4352</v>
      </c>
      <c r="K53" s="114"/>
      <c r="L53" s="118">
        <v>75</v>
      </c>
      <c r="M53" s="110"/>
      <c r="N53" s="116"/>
      <c r="O53" s="112">
        <v>63.25</v>
      </c>
      <c r="P53" s="108"/>
      <c r="Q53" s="115">
        <v>4636</v>
      </c>
    </row>
    <row r="54" spans="1:17" x14ac:dyDescent="0.25">
      <c r="A54" s="22">
        <v>20172</v>
      </c>
      <c r="B54" s="87">
        <v>11</v>
      </c>
      <c r="C54" s="223" t="str">
        <f t="shared" si="0"/>
        <v>11_20172</v>
      </c>
      <c r="D54" s="99">
        <v>86.2</v>
      </c>
      <c r="E54" s="110"/>
      <c r="F54" s="101">
        <v>6961</v>
      </c>
      <c r="G54" s="110"/>
      <c r="H54" s="99">
        <v>68.8</v>
      </c>
      <c r="I54" s="110"/>
      <c r="J54" s="119">
        <v>5720</v>
      </c>
      <c r="K54" s="116"/>
      <c r="L54" s="99">
        <v>79.5</v>
      </c>
      <c r="M54" s="110"/>
      <c r="N54" s="116"/>
      <c r="O54" s="99">
        <v>63.32</v>
      </c>
      <c r="P54" s="110"/>
      <c r="Q54" s="111">
        <v>5497</v>
      </c>
    </row>
    <row r="55" spans="1:17" x14ac:dyDescent="0.25">
      <c r="A55" s="22">
        <v>20173</v>
      </c>
      <c r="B55" s="87">
        <v>11</v>
      </c>
      <c r="C55" s="223" t="str">
        <f t="shared" si="0"/>
        <v>11_20173</v>
      </c>
      <c r="D55" s="99">
        <v>86.6</v>
      </c>
      <c r="E55" s="100">
        <v>78</v>
      </c>
      <c r="F55" s="101">
        <v>6802</v>
      </c>
      <c r="G55" s="110"/>
      <c r="H55" s="99">
        <v>72.2</v>
      </c>
      <c r="I55" s="100">
        <v>85.7</v>
      </c>
      <c r="J55" s="119">
        <v>5720</v>
      </c>
      <c r="K55" s="116"/>
      <c r="L55" s="99">
        <v>81</v>
      </c>
      <c r="M55" s="110"/>
      <c r="N55" s="116"/>
      <c r="O55" s="99">
        <v>65.3</v>
      </c>
      <c r="P55" s="100">
        <v>65.2</v>
      </c>
      <c r="Q55" s="111">
        <v>4742</v>
      </c>
    </row>
    <row r="56" spans="1:17" x14ac:dyDescent="0.25">
      <c r="A56" s="22">
        <v>20174</v>
      </c>
      <c r="B56" s="87">
        <v>11</v>
      </c>
      <c r="C56" s="223" t="str">
        <f t="shared" si="0"/>
        <v>11_20174</v>
      </c>
      <c r="D56" s="99">
        <v>88.4</v>
      </c>
      <c r="E56" s="100">
        <v>86.9</v>
      </c>
      <c r="F56" s="101">
        <v>7055</v>
      </c>
      <c r="G56" s="14">
        <v>62.5</v>
      </c>
      <c r="H56" s="99">
        <v>82.8</v>
      </c>
      <c r="I56" s="100">
        <v>75</v>
      </c>
      <c r="J56" s="119">
        <v>5549</v>
      </c>
      <c r="K56" s="212">
        <v>77.8</v>
      </c>
      <c r="L56" s="99">
        <v>77.7</v>
      </c>
      <c r="M56" s="100">
        <v>64.099999999999994</v>
      </c>
      <c r="N56" s="212">
        <v>100</v>
      </c>
      <c r="O56" s="99">
        <v>66</v>
      </c>
      <c r="P56" s="100">
        <v>66.7</v>
      </c>
      <c r="Q56" s="111">
        <v>4793</v>
      </c>
    </row>
    <row r="57" spans="1:17" ht="15.75" thickBot="1" x14ac:dyDescent="0.3">
      <c r="A57" s="213">
        <v>20181</v>
      </c>
      <c r="B57" s="54">
        <v>11</v>
      </c>
      <c r="C57" s="224" t="str">
        <f t="shared" si="0"/>
        <v>11_20181</v>
      </c>
      <c r="D57" s="102">
        <v>88.4</v>
      </c>
      <c r="E57" s="103">
        <v>87</v>
      </c>
      <c r="F57" s="107">
        <v>6818</v>
      </c>
      <c r="G57" s="93">
        <v>61.9</v>
      </c>
      <c r="H57" s="102">
        <v>81.8</v>
      </c>
      <c r="I57" s="103">
        <v>78.8</v>
      </c>
      <c r="J57" s="104">
        <v>5913</v>
      </c>
      <c r="K57" s="95">
        <v>77.8</v>
      </c>
      <c r="L57" s="106">
        <v>79.900000000000006</v>
      </c>
      <c r="M57" s="105">
        <v>70.900000000000006</v>
      </c>
      <c r="N57" s="226">
        <v>93.7</v>
      </c>
      <c r="O57" s="106">
        <v>66.099999999999994</v>
      </c>
      <c r="P57" s="105">
        <v>66.3</v>
      </c>
      <c r="Q57" s="98">
        <v>4863</v>
      </c>
    </row>
    <row r="58" spans="1:17" x14ac:dyDescent="0.25">
      <c r="A58" s="20">
        <v>20171</v>
      </c>
      <c r="B58" s="21">
        <v>12</v>
      </c>
      <c r="C58" s="222" t="str">
        <f t="shared" si="0"/>
        <v>12_20171</v>
      </c>
      <c r="D58" s="112">
        <v>79.25</v>
      </c>
      <c r="E58" s="108"/>
      <c r="F58" s="113">
        <v>6503</v>
      </c>
      <c r="G58" s="108"/>
      <c r="H58" s="112">
        <v>94.59</v>
      </c>
      <c r="I58" s="108"/>
      <c r="J58" s="113">
        <v>7173</v>
      </c>
      <c r="K58" s="114"/>
      <c r="L58" s="118">
        <v>79.31</v>
      </c>
      <c r="M58" s="110"/>
      <c r="N58" s="116"/>
      <c r="O58" s="112">
        <v>67.459999999999994</v>
      </c>
      <c r="P58" s="108"/>
      <c r="Q58" s="115">
        <v>4750</v>
      </c>
    </row>
    <row r="59" spans="1:17" x14ac:dyDescent="0.25">
      <c r="A59" s="22">
        <v>20172</v>
      </c>
      <c r="B59" s="87">
        <v>12</v>
      </c>
      <c r="C59" s="223" t="str">
        <f t="shared" si="0"/>
        <v>12_20172</v>
      </c>
      <c r="D59" s="99">
        <v>85.8</v>
      </c>
      <c r="E59" s="110"/>
      <c r="F59" s="101">
        <v>7075</v>
      </c>
      <c r="G59" s="110"/>
      <c r="H59" s="99">
        <v>92.4</v>
      </c>
      <c r="I59" s="110"/>
      <c r="J59" s="119">
        <v>7503</v>
      </c>
      <c r="K59" s="116"/>
      <c r="L59" s="99">
        <v>78.5</v>
      </c>
      <c r="M59" s="110"/>
      <c r="N59" s="116"/>
      <c r="O59" s="99">
        <v>67.58</v>
      </c>
      <c r="P59" s="110"/>
      <c r="Q59" s="111">
        <v>5484</v>
      </c>
    </row>
    <row r="60" spans="1:17" x14ac:dyDescent="0.25">
      <c r="A60" s="22">
        <v>20173</v>
      </c>
      <c r="B60" s="87">
        <v>12</v>
      </c>
      <c r="C60" s="223" t="str">
        <f t="shared" si="0"/>
        <v>12_20173</v>
      </c>
      <c r="D60" s="99">
        <v>88.5</v>
      </c>
      <c r="E60" s="100">
        <v>87.3</v>
      </c>
      <c r="F60" s="101">
        <v>6660</v>
      </c>
      <c r="G60" s="110"/>
      <c r="H60" s="99">
        <v>93</v>
      </c>
      <c r="I60" s="100">
        <v>89.7</v>
      </c>
      <c r="J60" s="119">
        <v>7524</v>
      </c>
      <c r="K60" s="116"/>
      <c r="L60" s="99">
        <v>73.8</v>
      </c>
      <c r="M60" s="110"/>
      <c r="N60" s="116"/>
      <c r="O60" s="99">
        <v>69.8</v>
      </c>
      <c r="P60" s="100">
        <v>68.7</v>
      </c>
      <c r="Q60" s="111">
        <v>4741</v>
      </c>
    </row>
    <row r="61" spans="1:17" x14ac:dyDescent="0.25">
      <c r="A61" s="22">
        <v>20174</v>
      </c>
      <c r="B61" s="87">
        <v>12</v>
      </c>
      <c r="C61" s="223" t="str">
        <f t="shared" si="0"/>
        <v>12_20174</v>
      </c>
      <c r="D61" s="99">
        <v>87</v>
      </c>
      <c r="E61" s="100">
        <v>87.9</v>
      </c>
      <c r="F61" s="101">
        <v>6774</v>
      </c>
      <c r="G61" s="14">
        <v>83.2</v>
      </c>
      <c r="H61" s="99">
        <v>85.1</v>
      </c>
      <c r="I61" s="100">
        <v>92.4</v>
      </c>
      <c r="J61" s="119">
        <v>7785</v>
      </c>
      <c r="K61" s="212">
        <v>82</v>
      </c>
      <c r="L61" s="99">
        <v>73.900000000000006</v>
      </c>
      <c r="M61" s="100">
        <v>74.099999999999994</v>
      </c>
      <c r="N61" s="212">
        <v>94.1</v>
      </c>
      <c r="O61" s="99">
        <v>71.400000000000006</v>
      </c>
      <c r="P61" s="100">
        <v>70.2</v>
      </c>
      <c r="Q61" s="111">
        <v>4770</v>
      </c>
    </row>
    <row r="62" spans="1:17" ht="15.75" thickBot="1" x14ac:dyDescent="0.3">
      <c r="A62" s="213">
        <v>20181</v>
      </c>
      <c r="B62" s="54">
        <v>12</v>
      </c>
      <c r="C62" s="224" t="str">
        <f t="shared" si="0"/>
        <v>12_20181</v>
      </c>
      <c r="D62" s="102">
        <v>88.3</v>
      </c>
      <c r="E62" s="103">
        <v>88.5</v>
      </c>
      <c r="F62" s="107">
        <v>6902</v>
      </c>
      <c r="G62" s="93">
        <v>80.900000000000006</v>
      </c>
      <c r="H62" s="102">
        <v>83</v>
      </c>
      <c r="I62" s="103">
        <v>91.1</v>
      </c>
      <c r="J62" s="104">
        <v>7916</v>
      </c>
      <c r="K62" s="95">
        <v>85.6</v>
      </c>
      <c r="L62" s="106">
        <v>73.400000000000006</v>
      </c>
      <c r="M62" s="105">
        <v>70.3</v>
      </c>
      <c r="N62" s="226">
        <v>93.4</v>
      </c>
      <c r="O62" s="106">
        <v>72.099999999999994</v>
      </c>
      <c r="P62" s="105">
        <v>70.3</v>
      </c>
      <c r="Q62" s="98">
        <v>4756</v>
      </c>
    </row>
    <row r="63" spans="1:17" x14ac:dyDescent="0.25">
      <c r="A63" s="20">
        <v>20171</v>
      </c>
      <c r="B63" s="21">
        <v>13</v>
      </c>
      <c r="C63" s="222" t="str">
        <f t="shared" si="0"/>
        <v>13_20171</v>
      </c>
      <c r="D63" s="112">
        <v>97.56</v>
      </c>
      <c r="E63" s="108"/>
      <c r="F63" s="113">
        <v>7447</v>
      </c>
      <c r="G63" s="108"/>
      <c r="H63" s="112">
        <v>81.25</v>
      </c>
      <c r="I63" s="108"/>
      <c r="J63" s="113">
        <v>6509</v>
      </c>
      <c r="K63" s="114"/>
      <c r="L63" s="118">
        <v>83.33</v>
      </c>
      <c r="M63" s="110"/>
      <c r="N63" s="116"/>
      <c r="O63" s="112">
        <v>68.87</v>
      </c>
      <c r="P63" s="108"/>
      <c r="Q63" s="115">
        <v>4985</v>
      </c>
    </row>
    <row r="64" spans="1:17" x14ac:dyDescent="0.25">
      <c r="A64" s="22">
        <v>20172</v>
      </c>
      <c r="B64" s="87">
        <v>13</v>
      </c>
      <c r="C64" s="223" t="str">
        <f t="shared" si="0"/>
        <v>13_20172</v>
      </c>
      <c r="D64" s="99">
        <v>94</v>
      </c>
      <c r="E64" s="110"/>
      <c r="F64" s="101">
        <v>7757</v>
      </c>
      <c r="G64" s="110"/>
      <c r="H64" s="99">
        <v>85.3</v>
      </c>
      <c r="I64" s="110"/>
      <c r="J64" s="119">
        <v>5383</v>
      </c>
      <c r="K64" s="116"/>
      <c r="L64" s="99">
        <v>79.5</v>
      </c>
      <c r="M64" s="110"/>
      <c r="N64" s="116"/>
      <c r="O64" s="99">
        <v>68.180000000000007</v>
      </c>
      <c r="P64" s="110"/>
      <c r="Q64" s="111">
        <v>5811</v>
      </c>
    </row>
    <row r="65" spans="1:17" x14ac:dyDescent="0.25">
      <c r="A65" s="22">
        <v>20173</v>
      </c>
      <c r="B65" s="87">
        <v>13</v>
      </c>
      <c r="C65" s="223" t="str">
        <f t="shared" si="0"/>
        <v>13_20173</v>
      </c>
      <c r="D65" s="99">
        <v>94.5</v>
      </c>
      <c r="E65" s="100">
        <v>87.8</v>
      </c>
      <c r="F65" s="101">
        <v>7615</v>
      </c>
      <c r="G65" s="110"/>
      <c r="H65" s="99">
        <v>89.1</v>
      </c>
      <c r="I65" s="100">
        <v>93.8</v>
      </c>
      <c r="J65" s="119">
        <v>5383</v>
      </c>
      <c r="K65" s="116"/>
      <c r="L65" s="99">
        <v>80.5</v>
      </c>
      <c r="M65" s="110"/>
      <c r="N65" s="116"/>
      <c r="O65" s="99">
        <v>67.900000000000006</v>
      </c>
      <c r="P65" s="100">
        <v>69.400000000000006</v>
      </c>
      <c r="Q65" s="111">
        <v>5006</v>
      </c>
    </row>
    <row r="66" spans="1:17" x14ac:dyDescent="0.25">
      <c r="A66" s="22">
        <v>20174</v>
      </c>
      <c r="B66" s="87">
        <v>13</v>
      </c>
      <c r="C66" s="223" t="str">
        <f t="shared" si="0"/>
        <v>13_20174</v>
      </c>
      <c r="D66" s="99">
        <v>92.6</v>
      </c>
      <c r="E66" s="100">
        <v>89.3</v>
      </c>
      <c r="F66" s="101">
        <v>7496</v>
      </c>
      <c r="G66" s="14">
        <v>92.9</v>
      </c>
      <c r="H66" s="99">
        <v>85.7</v>
      </c>
      <c r="I66" s="100">
        <v>88.2</v>
      </c>
      <c r="J66" s="119">
        <v>6432</v>
      </c>
      <c r="K66" s="212">
        <v>83.3</v>
      </c>
      <c r="L66" s="99">
        <v>79.2</v>
      </c>
      <c r="M66" s="100">
        <v>78.3</v>
      </c>
      <c r="N66" s="212">
        <v>83.1</v>
      </c>
      <c r="O66" s="99">
        <v>69.099999999999994</v>
      </c>
      <c r="P66" s="100">
        <v>70.7</v>
      </c>
      <c r="Q66" s="111">
        <v>5165</v>
      </c>
    </row>
    <row r="67" spans="1:17" ht="15.75" thickBot="1" x14ac:dyDescent="0.3">
      <c r="A67" s="213">
        <v>20181</v>
      </c>
      <c r="B67" s="54">
        <v>13</v>
      </c>
      <c r="C67" s="224" t="str">
        <f t="shared" si="0"/>
        <v>13_20181</v>
      </c>
      <c r="D67" s="102">
        <v>90.8</v>
      </c>
      <c r="E67" s="103">
        <v>90.8</v>
      </c>
      <c r="F67" s="107">
        <v>7342</v>
      </c>
      <c r="G67" s="93">
        <v>89.2</v>
      </c>
      <c r="H67" s="102">
        <v>80.7</v>
      </c>
      <c r="I67" s="103">
        <v>88</v>
      </c>
      <c r="J67" s="104">
        <v>7372</v>
      </c>
      <c r="K67" s="95">
        <v>90.9</v>
      </c>
      <c r="L67" s="106">
        <v>79.3</v>
      </c>
      <c r="M67" s="105">
        <v>79.099999999999994</v>
      </c>
      <c r="N67" s="226">
        <v>82.8</v>
      </c>
      <c r="O67" s="106">
        <v>68.7</v>
      </c>
      <c r="P67" s="105">
        <v>68.5</v>
      </c>
      <c r="Q67" s="98">
        <v>5297</v>
      </c>
    </row>
    <row r="68" spans="1:17" x14ac:dyDescent="0.25">
      <c r="A68" s="20">
        <v>20171</v>
      </c>
      <c r="B68" s="21">
        <v>14</v>
      </c>
      <c r="C68" s="222" t="str">
        <f t="shared" ref="C68:C127" si="1">B68&amp;"_"&amp;A68</f>
        <v>14_20171</v>
      </c>
      <c r="D68" s="112">
        <v>93.28</v>
      </c>
      <c r="E68" s="108"/>
      <c r="F68" s="113">
        <v>12055</v>
      </c>
      <c r="G68" s="108"/>
      <c r="H68" s="112">
        <v>88.75</v>
      </c>
      <c r="I68" s="108"/>
      <c r="J68" s="113">
        <v>7908</v>
      </c>
      <c r="K68" s="114"/>
      <c r="L68" s="118">
        <v>90</v>
      </c>
      <c r="M68" s="110"/>
      <c r="N68" s="116"/>
      <c r="O68" s="112">
        <v>68.38</v>
      </c>
      <c r="P68" s="108"/>
      <c r="Q68" s="115">
        <v>6568</v>
      </c>
    </row>
    <row r="69" spans="1:17" x14ac:dyDescent="0.25">
      <c r="A69" s="22">
        <v>20172</v>
      </c>
      <c r="B69" s="87">
        <v>14</v>
      </c>
      <c r="C69" s="223" t="str">
        <f t="shared" si="1"/>
        <v>14_20172</v>
      </c>
      <c r="D69" s="99">
        <v>94.4</v>
      </c>
      <c r="E69" s="110"/>
      <c r="F69" s="101">
        <v>10034</v>
      </c>
      <c r="G69" s="110"/>
      <c r="H69" s="99">
        <v>91.2</v>
      </c>
      <c r="I69" s="110"/>
      <c r="J69" s="119">
        <v>8149</v>
      </c>
      <c r="K69" s="116"/>
      <c r="L69" s="99">
        <v>89.7</v>
      </c>
      <c r="M69" s="110"/>
      <c r="N69" s="116"/>
      <c r="O69" s="99">
        <v>70.2</v>
      </c>
      <c r="P69" s="110"/>
      <c r="Q69" s="111">
        <v>8072</v>
      </c>
    </row>
    <row r="70" spans="1:17" x14ac:dyDescent="0.25">
      <c r="A70" s="22">
        <v>20173</v>
      </c>
      <c r="B70" s="87">
        <v>14</v>
      </c>
      <c r="C70" s="223" t="str">
        <f t="shared" si="1"/>
        <v>14_20173</v>
      </c>
      <c r="D70" s="99">
        <v>91</v>
      </c>
      <c r="E70" s="100">
        <v>93</v>
      </c>
      <c r="F70" s="101">
        <v>9506</v>
      </c>
      <c r="G70" s="110"/>
      <c r="H70" s="99">
        <v>86.7</v>
      </c>
      <c r="I70" s="100">
        <v>85.5</v>
      </c>
      <c r="J70" s="119">
        <v>8076</v>
      </c>
      <c r="K70" s="116"/>
      <c r="L70" s="99">
        <v>81.900000000000006</v>
      </c>
      <c r="M70" s="110"/>
      <c r="N70" s="116"/>
      <c r="O70" s="99">
        <v>73.7</v>
      </c>
      <c r="P70" s="100">
        <v>70.099999999999994</v>
      </c>
      <c r="Q70" s="111">
        <v>6627</v>
      </c>
    </row>
    <row r="71" spans="1:17" x14ac:dyDescent="0.25">
      <c r="A71" s="22">
        <v>20174</v>
      </c>
      <c r="B71" s="87">
        <v>14</v>
      </c>
      <c r="C71" s="223" t="str">
        <f t="shared" si="1"/>
        <v>14_20174</v>
      </c>
      <c r="D71" s="99">
        <v>92.4</v>
      </c>
      <c r="E71" s="100">
        <v>92.3</v>
      </c>
      <c r="F71" s="101">
        <v>9748</v>
      </c>
      <c r="G71" s="14">
        <v>98.2</v>
      </c>
      <c r="H71" s="99">
        <v>87.7</v>
      </c>
      <c r="I71" s="100">
        <v>88.7</v>
      </c>
      <c r="J71" s="119">
        <v>8129</v>
      </c>
      <c r="K71" s="212">
        <v>86.2</v>
      </c>
      <c r="L71" s="99">
        <v>84.5</v>
      </c>
      <c r="M71" s="100">
        <v>90.4</v>
      </c>
      <c r="N71" s="212">
        <v>95.8</v>
      </c>
      <c r="O71" s="99">
        <v>72.900000000000006</v>
      </c>
      <c r="P71" s="100">
        <v>72.400000000000006</v>
      </c>
      <c r="Q71" s="111">
        <v>6625</v>
      </c>
    </row>
    <row r="72" spans="1:17" ht="15.75" thickBot="1" x14ac:dyDescent="0.3">
      <c r="A72" s="213">
        <v>20181</v>
      </c>
      <c r="B72" s="54">
        <v>14</v>
      </c>
      <c r="C72" s="224" t="str">
        <f t="shared" si="1"/>
        <v>14_20181</v>
      </c>
      <c r="D72" s="102">
        <v>92.1</v>
      </c>
      <c r="E72" s="103">
        <v>88.9</v>
      </c>
      <c r="F72" s="107">
        <v>9753</v>
      </c>
      <c r="G72" s="93">
        <v>96.7</v>
      </c>
      <c r="H72" s="102">
        <v>88.7</v>
      </c>
      <c r="I72" s="103">
        <v>84.5</v>
      </c>
      <c r="J72" s="104">
        <v>8074</v>
      </c>
      <c r="K72" s="95">
        <v>86.4</v>
      </c>
      <c r="L72" s="106">
        <v>79.099999999999994</v>
      </c>
      <c r="M72" s="105">
        <v>77.900000000000006</v>
      </c>
      <c r="N72" s="226">
        <v>88.4</v>
      </c>
      <c r="O72" s="106">
        <v>73</v>
      </c>
      <c r="P72" s="105">
        <v>72.599999999999994</v>
      </c>
      <c r="Q72" s="98">
        <v>6657</v>
      </c>
    </row>
    <row r="73" spans="1:17" x14ac:dyDescent="0.25">
      <c r="A73" s="20">
        <v>20171</v>
      </c>
      <c r="B73" s="21">
        <v>15</v>
      </c>
      <c r="C73" s="222" t="str">
        <f t="shared" si="1"/>
        <v>15_20171</v>
      </c>
      <c r="D73" s="112">
        <v>93.24</v>
      </c>
      <c r="E73" s="108"/>
      <c r="F73" s="113">
        <v>6074</v>
      </c>
      <c r="G73" s="108"/>
      <c r="H73" s="112">
        <v>94.15</v>
      </c>
      <c r="I73" s="108"/>
      <c r="J73" s="113">
        <v>7334</v>
      </c>
      <c r="K73" s="114"/>
      <c r="L73" s="118">
        <v>78.95</v>
      </c>
      <c r="M73" s="110"/>
      <c r="N73" s="116"/>
      <c r="O73" s="112">
        <v>68.64</v>
      </c>
      <c r="P73" s="108"/>
      <c r="Q73" s="115">
        <v>5984</v>
      </c>
    </row>
    <row r="74" spans="1:17" x14ac:dyDescent="0.25">
      <c r="A74" s="22">
        <v>20172</v>
      </c>
      <c r="B74" s="87">
        <v>15</v>
      </c>
      <c r="C74" s="223" t="str">
        <f t="shared" si="1"/>
        <v>15_20172</v>
      </c>
      <c r="D74" s="99">
        <v>92</v>
      </c>
      <c r="E74" s="110"/>
      <c r="F74" s="101">
        <v>6786</v>
      </c>
      <c r="G74" s="110"/>
      <c r="H74" s="99">
        <v>93.5</v>
      </c>
      <c r="I74" s="110"/>
      <c r="J74" s="119">
        <v>7326</v>
      </c>
      <c r="K74" s="116"/>
      <c r="L74" s="99">
        <v>89.6</v>
      </c>
      <c r="M74" s="110"/>
      <c r="N74" s="116"/>
      <c r="O74" s="99">
        <v>66.22</v>
      </c>
      <c r="P74" s="110"/>
      <c r="Q74" s="111">
        <v>6812</v>
      </c>
    </row>
    <row r="75" spans="1:17" x14ac:dyDescent="0.25">
      <c r="A75" s="22">
        <v>20173</v>
      </c>
      <c r="B75" s="87">
        <v>15</v>
      </c>
      <c r="C75" s="223" t="str">
        <f t="shared" si="1"/>
        <v>15_20173</v>
      </c>
      <c r="D75" s="99">
        <v>91.6</v>
      </c>
      <c r="E75" s="100">
        <v>92.5</v>
      </c>
      <c r="F75" s="101">
        <v>7034</v>
      </c>
      <c r="G75" s="110"/>
      <c r="H75" s="99">
        <v>92.9</v>
      </c>
      <c r="I75" s="100">
        <v>90.4</v>
      </c>
      <c r="J75" s="119">
        <v>7541</v>
      </c>
      <c r="K75" s="116"/>
      <c r="L75" s="99">
        <v>87.7</v>
      </c>
      <c r="M75" s="110"/>
      <c r="N75" s="116"/>
      <c r="O75" s="99">
        <v>69.2</v>
      </c>
      <c r="P75" s="100">
        <v>67.2</v>
      </c>
      <c r="Q75" s="111">
        <v>5820</v>
      </c>
    </row>
    <row r="76" spans="1:17" x14ac:dyDescent="0.25">
      <c r="A76" s="22">
        <v>20174</v>
      </c>
      <c r="B76" s="87">
        <v>15</v>
      </c>
      <c r="C76" s="223" t="str">
        <f t="shared" si="1"/>
        <v>15_20174</v>
      </c>
      <c r="D76" s="99">
        <v>93.9</v>
      </c>
      <c r="E76" s="100">
        <v>90.9</v>
      </c>
      <c r="F76" s="101">
        <v>8663</v>
      </c>
      <c r="G76" s="14">
        <v>83.7</v>
      </c>
      <c r="H76" s="99">
        <v>92.8</v>
      </c>
      <c r="I76" s="100">
        <v>89.2</v>
      </c>
      <c r="J76" s="119">
        <v>7512</v>
      </c>
      <c r="K76" s="212">
        <v>86.2</v>
      </c>
      <c r="L76" s="99">
        <v>88.7</v>
      </c>
      <c r="M76" s="100">
        <v>91.7</v>
      </c>
      <c r="N76" s="212">
        <v>97.7</v>
      </c>
      <c r="O76" s="99">
        <v>68.3</v>
      </c>
      <c r="P76" s="100">
        <v>68.8</v>
      </c>
      <c r="Q76" s="111">
        <v>5980</v>
      </c>
    </row>
    <row r="77" spans="1:17" ht="15.75" thickBot="1" x14ac:dyDescent="0.3">
      <c r="A77" s="213">
        <v>20181</v>
      </c>
      <c r="B77" s="54">
        <v>15</v>
      </c>
      <c r="C77" s="224" t="str">
        <f t="shared" si="1"/>
        <v>15_20181</v>
      </c>
      <c r="D77" s="102">
        <v>92.9</v>
      </c>
      <c r="E77" s="103">
        <v>90.1</v>
      </c>
      <c r="F77" s="107">
        <v>8414</v>
      </c>
      <c r="G77" s="93">
        <v>86.5</v>
      </c>
      <c r="H77" s="102">
        <v>92.9</v>
      </c>
      <c r="I77" s="103">
        <v>89.4</v>
      </c>
      <c r="J77" s="104">
        <v>7723</v>
      </c>
      <c r="K77" s="95">
        <v>87.9</v>
      </c>
      <c r="L77" s="106">
        <v>85.8</v>
      </c>
      <c r="M77" s="105">
        <v>86.2</v>
      </c>
      <c r="N77" s="226">
        <v>84</v>
      </c>
      <c r="O77" s="106">
        <v>66.900000000000006</v>
      </c>
      <c r="P77" s="105">
        <v>68.3</v>
      </c>
      <c r="Q77" s="98">
        <v>5961</v>
      </c>
    </row>
    <row r="78" spans="1:17" x14ac:dyDescent="0.25">
      <c r="A78" s="20">
        <v>20171</v>
      </c>
      <c r="B78" s="21">
        <v>16</v>
      </c>
      <c r="C78" s="222" t="str">
        <f t="shared" si="1"/>
        <v>16_20171</v>
      </c>
      <c r="D78" s="112">
        <v>88.06</v>
      </c>
      <c r="E78" s="108"/>
      <c r="F78" s="113">
        <v>7011</v>
      </c>
      <c r="G78" s="108"/>
      <c r="H78" s="112">
        <v>83.67</v>
      </c>
      <c r="I78" s="108"/>
      <c r="J78" s="113">
        <v>7896</v>
      </c>
      <c r="K78" s="114"/>
      <c r="L78" s="118">
        <v>50</v>
      </c>
      <c r="M78" s="110"/>
      <c r="N78" s="116"/>
      <c r="O78" s="112">
        <v>63.41</v>
      </c>
      <c r="P78" s="108"/>
      <c r="Q78" s="115">
        <v>5153</v>
      </c>
    </row>
    <row r="79" spans="1:17" x14ac:dyDescent="0.25">
      <c r="A79" s="22">
        <v>20172</v>
      </c>
      <c r="B79" s="87">
        <v>16</v>
      </c>
      <c r="C79" s="223" t="str">
        <f t="shared" si="1"/>
        <v>16_20172</v>
      </c>
      <c r="D79" s="99">
        <v>91.2</v>
      </c>
      <c r="E79" s="110"/>
      <c r="F79" s="101">
        <v>7877</v>
      </c>
      <c r="G79" s="110"/>
      <c r="H79" s="99">
        <v>90</v>
      </c>
      <c r="I79" s="110"/>
      <c r="J79" s="119">
        <v>7027</v>
      </c>
      <c r="K79" s="116"/>
      <c r="L79" s="99">
        <v>75</v>
      </c>
      <c r="M79" s="110"/>
      <c r="N79" s="116"/>
      <c r="O79" s="99">
        <v>59.93</v>
      </c>
      <c r="P79" s="110"/>
      <c r="Q79" s="111">
        <v>6218</v>
      </c>
    </row>
    <row r="80" spans="1:17" x14ac:dyDescent="0.25">
      <c r="A80" s="22">
        <v>20173</v>
      </c>
      <c r="B80" s="87">
        <v>16</v>
      </c>
      <c r="C80" s="223" t="str">
        <f t="shared" si="1"/>
        <v>16_20173</v>
      </c>
      <c r="D80" s="99">
        <v>91.7</v>
      </c>
      <c r="E80" s="100">
        <v>80</v>
      </c>
      <c r="F80" s="101">
        <v>8060</v>
      </c>
      <c r="G80" s="110"/>
      <c r="H80" s="99">
        <v>88.3</v>
      </c>
      <c r="I80" s="100">
        <v>85.7</v>
      </c>
      <c r="J80" s="119">
        <v>7368</v>
      </c>
      <c r="K80" s="116"/>
      <c r="L80" s="99">
        <v>84.1</v>
      </c>
      <c r="M80" s="110"/>
      <c r="N80" s="116"/>
      <c r="O80" s="99">
        <v>65.3</v>
      </c>
      <c r="P80" s="100">
        <v>64.3</v>
      </c>
      <c r="Q80" s="111">
        <v>5301</v>
      </c>
    </row>
    <row r="81" spans="1:17" x14ac:dyDescent="0.25">
      <c r="A81" s="22">
        <v>20174</v>
      </c>
      <c r="B81" s="87">
        <v>16</v>
      </c>
      <c r="C81" s="223" t="str">
        <f t="shared" si="1"/>
        <v>16_20174</v>
      </c>
      <c r="D81" s="99">
        <v>94</v>
      </c>
      <c r="E81" s="100">
        <v>82.4</v>
      </c>
      <c r="F81" s="101">
        <v>8368</v>
      </c>
      <c r="G81" s="14">
        <v>91.5</v>
      </c>
      <c r="H81" s="99">
        <v>89.8</v>
      </c>
      <c r="I81" s="100">
        <v>92.9</v>
      </c>
      <c r="J81" s="119">
        <v>7608</v>
      </c>
      <c r="K81" s="212">
        <v>88.1</v>
      </c>
      <c r="L81" s="99">
        <v>84.1</v>
      </c>
      <c r="M81" s="100">
        <v>87.5</v>
      </c>
      <c r="N81" s="212">
        <v>93.8</v>
      </c>
      <c r="O81" s="99">
        <v>67</v>
      </c>
      <c r="P81" s="100">
        <v>64.099999999999994</v>
      </c>
      <c r="Q81" s="111">
        <v>5437</v>
      </c>
    </row>
    <row r="82" spans="1:17" ht="15.75" thickBot="1" x14ac:dyDescent="0.3">
      <c r="A82" s="213">
        <v>20181</v>
      </c>
      <c r="B82" s="54">
        <v>16</v>
      </c>
      <c r="C82" s="224" t="str">
        <f t="shared" si="1"/>
        <v>16_20181</v>
      </c>
      <c r="D82" s="102">
        <v>94.3</v>
      </c>
      <c r="E82" s="103">
        <v>85.7</v>
      </c>
      <c r="F82" s="107">
        <v>8421</v>
      </c>
      <c r="G82" s="93">
        <v>90.2</v>
      </c>
      <c r="H82" s="102">
        <v>90.5</v>
      </c>
      <c r="I82" s="103">
        <v>92.2</v>
      </c>
      <c r="J82" s="104">
        <v>7680</v>
      </c>
      <c r="K82" s="95">
        <v>89.7</v>
      </c>
      <c r="L82" s="106">
        <v>84.5</v>
      </c>
      <c r="M82" s="105">
        <v>88.6</v>
      </c>
      <c r="N82" s="226">
        <v>97.7</v>
      </c>
      <c r="O82" s="106">
        <v>65.599999999999994</v>
      </c>
      <c r="P82" s="105">
        <v>64.900000000000006</v>
      </c>
      <c r="Q82" s="98">
        <v>5625</v>
      </c>
    </row>
    <row r="83" spans="1:17" x14ac:dyDescent="0.25">
      <c r="A83" s="20">
        <v>20171</v>
      </c>
      <c r="B83" s="21">
        <v>17</v>
      </c>
      <c r="C83" s="222" t="str">
        <f t="shared" si="1"/>
        <v>17_20171</v>
      </c>
      <c r="D83" s="112">
        <v>90.24</v>
      </c>
      <c r="E83" s="108"/>
      <c r="F83" s="113">
        <v>6086</v>
      </c>
      <c r="G83" s="108"/>
      <c r="H83" s="112">
        <v>94.12</v>
      </c>
      <c r="I83" s="108"/>
      <c r="J83" s="113">
        <v>5640</v>
      </c>
      <c r="K83" s="114"/>
      <c r="L83" s="118">
        <v>79.55</v>
      </c>
      <c r="M83" s="110"/>
      <c r="N83" s="116"/>
      <c r="O83" s="112">
        <v>68.83</v>
      </c>
      <c r="P83" s="108"/>
      <c r="Q83" s="115">
        <v>4730</v>
      </c>
    </row>
    <row r="84" spans="1:17" x14ac:dyDescent="0.25">
      <c r="A84" s="22">
        <v>20172</v>
      </c>
      <c r="B84" s="87">
        <v>17</v>
      </c>
      <c r="C84" s="223" t="str">
        <f t="shared" si="1"/>
        <v>17_20172</v>
      </c>
      <c r="D84" s="99">
        <v>91.1</v>
      </c>
      <c r="E84" s="110"/>
      <c r="F84" s="101">
        <v>6609</v>
      </c>
      <c r="G84" s="110"/>
      <c r="H84" s="99">
        <v>96</v>
      </c>
      <c r="I84" s="110"/>
      <c r="J84" s="119">
        <v>8264</v>
      </c>
      <c r="K84" s="116"/>
      <c r="L84" s="99">
        <v>81.3</v>
      </c>
      <c r="M84" s="110"/>
      <c r="N84" s="116"/>
      <c r="O84" s="99">
        <v>67.8</v>
      </c>
      <c r="P84" s="110"/>
      <c r="Q84" s="111">
        <v>5205</v>
      </c>
    </row>
    <row r="85" spans="1:17" x14ac:dyDescent="0.25">
      <c r="A85" s="22">
        <v>20173</v>
      </c>
      <c r="B85" s="87">
        <v>17</v>
      </c>
      <c r="C85" s="223" t="str">
        <f t="shared" si="1"/>
        <v>17_20173</v>
      </c>
      <c r="D85" s="99">
        <v>91.4</v>
      </c>
      <c r="E85" s="100">
        <v>85</v>
      </c>
      <c r="F85" s="101">
        <v>6843</v>
      </c>
      <c r="G85" s="110"/>
      <c r="H85" s="99">
        <v>97.1</v>
      </c>
      <c r="I85" s="100">
        <v>100</v>
      </c>
      <c r="J85" s="119">
        <v>7962</v>
      </c>
      <c r="K85" s="116"/>
      <c r="L85" s="99">
        <v>78.7</v>
      </c>
      <c r="M85" s="110"/>
      <c r="N85" s="116"/>
      <c r="O85" s="99">
        <v>68.8</v>
      </c>
      <c r="P85" s="100">
        <v>62.6</v>
      </c>
      <c r="Q85" s="111">
        <v>4667</v>
      </c>
    </row>
    <row r="86" spans="1:17" x14ac:dyDescent="0.25">
      <c r="A86" s="22">
        <v>20174</v>
      </c>
      <c r="B86" s="87">
        <v>17</v>
      </c>
      <c r="C86" s="223" t="str">
        <f t="shared" si="1"/>
        <v>17_20174</v>
      </c>
      <c r="D86" s="99">
        <v>90.4</v>
      </c>
      <c r="E86" s="100">
        <v>86.1</v>
      </c>
      <c r="F86" s="101">
        <v>6741</v>
      </c>
      <c r="G86" s="14">
        <v>76.400000000000006</v>
      </c>
      <c r="H86" s="99">
        <v>95.7</v>
      </c>
      <c r="I86" s="100">
        <v>96</v>
      </c>
      <c r="J86" s="119">
        <v>8309</v>
      </c>
      <c r="K86" s="212">
        <v>91.7</v>
      </c>
      <c r="L86" s="99">
        <v>77.7</v>
      </c>
      <c r="M86" s="100">
        <v>81.3</v>
      </c>
      <c r="N86" s="212">
        <v>87.3</v>
      </c>
      <c r="O86" s="99">
        <v>69.7</v>
      </c>
      <c r="P86" s="100">
        <v>66.2</v>
      </c>
      <c r="Q86" s="111">
        <v>4688</v>
      </c>
    </row>
    <row r="87" spans="1:17" ht="15.75" thickBot="1" x14ac:dyDescent="0.3">
      <c r="A87" s="213">
        <v>20181</v>
      </c>
      <c r="B87" s="54">
        <v>17</v>
      </c>
      <c r="C87" s="224" t="str">
        <f t="shared" si="1"/>
        <v>17_20181</v>
      </c>
      <c r="D87" s="102">
        <v>88.5</v>
      </c>
      <c r="E87" s="103">
        <v>84.8</v>
      </c>
      <c r="F87" s="107">
        <v>6945</v>
      </c>
      <c r="G87" s="93">
        <v>72.900000000000006</v>
      </c>
      <c r="H87" s="102">
        <v>95.2</v>
      </c>
      <c r="I87" s="103">
        <v>91.4</v>
      </c>
      <c r="J87" s="104">
        <v>8847</v>
      </c>
      <c r="K87" s="95">
        <v>84.2</v>
      </c>
      <c r="L87" s="106">
        <v>77.400000000000006</v>
      </c>
      <c r="M87" s="105">
        <v>82.5</v>
      </c>
      <c r="N87" s="226">
        <v>82.3</v>
      </c>
      <c r="O87" s="106">
        <v>69.3</v>
      </c>
      <c r="P87" s="105">
        <v>66.599999999999994</v>
      </c>
      <c r="Q87" s="98">
        <v>4638</v>
      </c>
    </row>
    <row r="88" spans="1:17" x14ac:dyDescent="0.25">
      <c r="A88" s="20">
        <v>20171</v>
      </c>
      <c r="B88" s="21">
        <v>18</v>
      </c>
      <c r="C88" s="222" t="str">
        <f t="shared" si="1"/>
        <v>18_20171</v>
      </c>
      <c r="D88" s="112">
        <v>98.48</v>
      </c>
      <c r="E88" s="108"/>
      <c r="F88" s="113">
        <v>8752</v>
      </c>
      <c r="G88" s="108"/>
      <c r="H88" s="112">
        <v>100</v>
      </c>
      <c r="I88" s="108"/>
      <c r="J88" s="113">
        <v>8961</v>
      </c>
      <c r="K88" s="114"/>
      <c r="L88" s="118">
        <v>95.12</v>
      </c>
      <c r="M88" s="110"/>
      <c r="N88" s="116"/>
      <c r="O88" s="112">
        <v>68.709999999999994</v>
      </c>
      <c r="P88" s="108"/>
      <c r="Q88" s="115">
        <v>5031</v>
      </c>
    </row>
    <row r="89" spans="1:17" x14ac:dyDescent="0.25">
      <c r="A89" s="22">
        <v>20172</v>
      </c>
      <c r="B89" s="87">
        <v>18</v>
      </c>
      <c r="C89" s="223" t="str">
        <f t="shared" si="1"/>
        <v>18_20172</v>
      </c>
      <c r="D89" s="99">
        <v>95.9</v>
      </c>
      <c r="E89" s="110"/>
      <c r="F89" s="101">
        <v>9103</v>
      </c>
      <c r="G89" s="110"/>
      <c r="H89" s="99">
        <v>87.5</v>
      </c>
      <c r="I89" s="110"/>
      <c r="J89" s="119">
        <v>7818</v>
      </c>
      <c r="K89" s="116"/>
      <c r="L89" s="99">
        <v>87.5</v>
      </c>
      <c r="M89" s="110"/>
      <c r="N89" s="116"/>
      <c r="O89" s="99">
        <v>67.39</v>
      </c>
      <c r="P89" s="110"/>
      <c r="Q89" s="111">
        <v>5960</v>
      </c>
    </row>
    <row r="90" spans="1:17" x14ac:dyDescent="0.25">
      <c r="A90" s="22">
        <v>20173</v>
      </c>
      <c r="B90" s="87">
        <v>18</v>
      </c>
      <c r="C90" s="223" t="str">
        <f t="shared" si="1"/>
        <v>18_20173</v>
      </c>
      <c r="D90" s="99">
        <v>95.5</v>
      </c>
      <c r="E90" s="100">
        <v>98.5</v>
      </c>
      <c r="F90" s="101">
        <v>9780</v>
      </c>
      <c r="G90" s="110"/>
      <c r="H90" s="99">
        <v>90.9</v>
      </c>
      <c r="I90" s="100">
        <v>100</v>
      </c>
      <c r="J90" s="119">
        <v>8474</v>
      </c>
      <c r="K90" s="116"/>
      <c r="L90" s="99">
        <v>88.3</v>
      </c>
      <c r="M90" s="110"/>
      <c r="N90" s="116"/>
      <c r="O90" s="99">
        <v>68.5</v>
      </c>
      <c r="P90" s="100">
        <v>67.8</v>
      </c>
      <c r="Q90" s="111">
        <v>5100</v>
      </c>
    </row>
    <row r="91" spans="1:17" x14ac:dyDescent="0.25">
      <c r="A91" s="22">
        <v>20174</v>
      </c>
      <c r="B91" s="87">
        <v>18</v>
      </c>
      <c r="C91" s="223" t="str">
        <f t="shared" si="1"/>
        <v>18_20174</v>
      </c>
      <c r="D91" s="99">
        <v>96.4</v>
      </c>
      <c r="E91" s="100">
        <v>96.7</v>
      </c>
      <c r="F91" s="101">
        <v>8890</v>
      </c>
      <c r="G91" s="14">
        <v>90.8</v>
      </c>
      <c r="H91" s="99">
        <v>95.5</v>
      </c>
      <c r="I91" s="100">
        <v>75</v>
      </c>
      <c r="J91" s="119">
        <v>7818</v>
      </c>
      <c r="K91" s="212">
        <v>66.7</v>
      </c>
      <c r="L91" s="99">
        <v>89.5</v>
      </c>
      <c r="M91" s="100">
        <v>88.8</v>
      </c>
      <c r="N91" s="212">
        <v>86.5</v>
      </c>
      <c r="O91" s="99">
        <v>69.599999999999994</v>
      </c>
      <c r="P91" s="100">
        <v>69.400000000000006</v>
      </c>
      <c r="Q91" s="111">
        <v>5181</v>
      </c>
    </row>
    <row r="92" spans="1:17" ht="15.75" thickBot="1" x14ac:dyDescent="0.3">
      <c r="A92" s="213">
        <v>20181</v>
      </c>
      <c r="B92" s="54">
        <v>18</v>
      </c>
      <c r="C92" s="224" t="str">
        <f t="shared" si="1"/>
        <v>18_20181</v>
      </c>
      <c r="D92" s="102">
        <v>95.3</v>
      </c>
      <c r="E92" s="103">
        <v>97.3</v>
      </c>
      <c r="F92" s="107">
        <v>8890</v>
      </c>
      <c r="G92" s="93">
        <v>89.4</v>
      </c>
      <c r="H92" s="102">
        <v>95</v>
      </c>
      <c r="I92" s="103">
        <v>81.8</v>
      </c>
      <c r="J92" s="104">
        <v>7818</v>
      </c>
      <c r="K92" s="95">
        <v>83.3</v>
      </c>
      <c r="L92" s="106">
        <v>84.7</v>
      </c>
      <c r="M92" s="105">
        <v>87.8</v>
      </c>
      <c r="N92" s="226">
        <v>85.6</v>
      </c>
      <c r="O92" s="106">
        <v>69.400000000000006</v>
      </c>
      <c r="P92" s="105">
        <v>68.599999999999994</v>
      </c>
      <c r="Q92" s="98">
        <v>5307</v>
      </c>
    </row>
    <row r="93" spans="1:17" x14ac:dyDescent="0.25">
      <c r="A93" s="20">
        <v>20171</v>
      </c>
      <c r="B93" s="21">
        <v>19</v>
      </c>
      <c r="C93" s="222" t="str">
        <f t="shared" si="1"/>
        <v>19_20171</v>
      </c>
      <c r="D93" s="112">
        <v>100</v>
      </c>
      <c r="E93" s="108"/>
      <c r="F93" s="113">
        <v>7022</v>
      </c>
      <c r="G93" s="108"/>
      <c r="H93" s="112"/>
      <c r="I93" s="108"/>
      <c r="J93" s="113"/>
      <c r="K93" s="114"/>
      <c r="L93" s="118">
        <v>87.5</v>
      </c>
      <c r="M93" s="110"/>
      <c r="N93" s="116"/>
      <c r="O93" s="112">
        <v>69.180000000000007</v>
      </c>
      <c r="P93" s="108"/>
      <c r="Q93" s="115">
        <v>4759</v>
      </c>
    </row>
    <row r="94" spans="1:17" x14ac:dyDescent="0.25">
      <c r="A94" s="22">
        <v>20172</v>
      </c>
      <c r="B94" s="87">
        <v>19</v>
      </c>
      <c r="C94" s="223" t="str">
        <f t="shared" si="1"/>
        <v>19_20172</v>
      </c>
      <c r="D94" s="99">
        <v>85.7</v>
      </c>
      <c r="E94" s="110"/>
      <c r="F94" s="101">
        <v>11200</v>
      </c>
      <c r="G94" s="110"/>
      <c r="H94" s="99"/>
      <c r="I94" s="110"/>
      <c r="J94" s="119"/>
      <c r="K94" s="116"/>
      <c r="L94" s="99">
        <v>92</v>
      </c>
      <c r="M94" s="110"/>
      <c r="N94" s="116"/>
      <c r="O94" s="99">
        <v>67.14</v>
      </c>
      <c r="P94" s="110"/>
      <c r="Q94" s="111">
        <v>5043</v>
      </c>
    </row>
    <row r="95" spans="1:17" x14ac:dyDescent="0.25">
      <c r="A95" s="22">
        <v>20173</v>
      </c>
      <c r="B95" s="87">
        <v>19</v>
      </c>
      <c r="C95" s="223" t="str">
        <f t="shared" si="1"/>
        <v>19_20173</v>
      </c>
      <c r="D95" s="99">
        <v>83</v>
      </c>
      <c r="E95" s="100">
        <v>71.400000000000006</v>
      </c>
      <c r="F95" s="101">
        <v>11067</v>
      </c>
      <c r="G95" s="110"/>
      <c r="H95" s="99"/>
      <c r="I95" s="100"/>
      <c r="J95" s="119"/>
      <c r="K95" s="116"/>
      <c r="L95" s="99">
        <v>88.9</v>
      </c>
      <c r="M95" s="110"/>
      <c r="N95" s="116"/>
      <c r="O95" s="99">
        <v>70.7</v>
      </c>
      <c r="P95" s="100">
        <v>63.6</v>
      </c>
      <c r="Q95" s="111">
        <v>4794</v>
      </c>
    </row>
    <row r="96" spans="1:17" x14ac:dyDescent="0.25">
      <c r="A96" s="22">
        <v>20174</v>
      </c>
      <c r="B96" s="87">
        <v>19</v>
      </c>
      <c r="C96" s="223" t="str">
        <f t="shared" si="1"/>
        <v>19_20174</v>
      </c>
      <c r="D96" s="99">
        <v>84</v>
      </c>
      <c r="E96" s="100">
        <v>83.3</v>
      </c>
      <c r="F96" s="101">
        <v>10654</v>
      </c>
      <c r="G96" s="14">
        <v>100</v>
      </c>
      <c r="H96" s="99"/>
      <c r="I96" s="100"/>
      <c r="J96" s="119"/>
      <c r="K96" s="117"/>
      <c r="L96" s="99">
        <v>91.7</v>
      </c>
      <c r="M96" s="100">
        <v>92</v>
      </c>
      <c r="N96" s="212">
        <v>96</v>
      </c>
      <c r="O96" s="99">
        <v>71.900000000000006</v>
      </c>
      <c r="P96" s="100">
        <v>65.2</v>
      </c>
      <c r="Q96" s="111">
        <v>4885</v>
      </c>
    </row>
    <row r="97" spans="1:17" ht="15.75" thickBot="1" x14ac:dyDescent="0.3">
      <c r="A97" s="213">
        <v>20181</v>
      </c>
      <c r="B97" s="54">
        <v>19</v>
      </c>
      <c r="C97" s="224" t="str">
        <f t="shared" si="1"/>
        <v>19_20181</v>
      </c>
      <c r="D97" s="102">
        <v>83</v>
      </c>
      <c r="E97" s="103">
        <v>85.1</v>
      </c>
      <c r="F97" s="107">
        <v>11332</v>
      </c>
      <c r="G97" s="93">
        <v>90.9</v>
      </c>
      <c r="H97" s="102">
        <v>0</v>
      </c>
      <c r="I97" s="103">
        <v>0</v>
      </c>
      <c r="J97" s="104">
        <v>0</v>
      </c>
      <c r="K97" s="95">
        <v>0</v>
      </c>
      <c r="L97" s="106">
        <v>93.1</v>
      </c>
      <c r="M97" s="105">
        <v>92.6</v>
      </c>
      <c r="N97" s="226">
        <v>96.3</v>
      </c>
      <c r="O97" s="106">
        <v>71.3</v>
      </c>
      <c r="P97" s="105">
        <v>65.7</v>
      </c>
      <c r="Q97" s="98">
        <v>4982</v>
      </c>
    </row>
    <row r="98" spans="1:17" x14ac:dyDescent="0.25">
      <c r="A98" s="20">
        <v>20171</v>
      </c>
      <c r="B98" s="21">
        <v>20</v>
      </c>
      <c r="C98" s="222" t="str">
        <f t="shared" si="1"/>
        <v>20_20171</v>
      </c>
      <c r="D98" s="112">
        <v>90</v>
      </c>
      <c r="E98" s="108"/>
      <c r="F98" s="113">
        <v>7059</v>
      </c>
      <c r="G98" s="108"/>
      <c r="H98" s="112">
        <v>96</v>
      </c>
      <c r="I98" s="108"/>
      <c r="J98" s="113">
        <v>5857</v>
      </c>
      <c r="K98" s="114"/>
      <c r="L98" s="118">
        <v>72.22</v>
      </c>
      <c r="M98" s="110"/>
      <c r="N98" s="116"/>
      <c r="O98" s="112">
        <v>68.739999999999995</v>
      </c>
      <c r="P98" s="108"/>
      <c r="Q98" s="115">
        <v>5195</v>
      </c>
    </row>
    <row r="99" spans="1:17" x14ac:dyDescent="0.25">
      <c r="A99" s="22">
        <v>20172</v>
      </c>
      <c r="B99" s="87">
        <v>20</v>
      </c>
      <c r="C99" s="223" t="str">
        <f t="shared" si="1"/>
        <v>20_20172</v>
      </c>
      <c r="D99" s="99">
        <v>92.4</v>
      </c>
      <c r="E99" s="110"/>
      <c r="F99" s="101">
        <v>7623</v>
      </c>
      <c r="G99" s="110"/>
      <c r="H99" s="99">
        <v>95.3</v>
      </c>
      <c r="I99" s="110"/>
      <c r="J99" s="119">
        <v>6225</v>
      </c>
      <c r="K99" s="116"/>
      <c r="L99" s="99">
        <v>75</v>
      </c>
      <c r="M99" s="110"/>
      <c r="N99" s="116"/>
      <c r="O99" s="99">
        <v>65.459999999999994</v>
      </c>
      <c r="P99" s="110"/>
      <c r="Q99" s="111">
        <v>5862</v>
      </c>
    </row>
    <row r="100" spans="1:17" x14ac:dyDescent="0.25">
      <c r="A100" s="22">
        <v>20173</v>
      </c>
      <c r="B100" s="87">
        <v>20</v>
      </c>
      <c r="C100" s="223" t="str">
        <f t="shared" si="1"/>
        <v>20_20173</v>
      </c>
      <c r="D100" s="99">
        <v>91.6</v>
      </c>
      <c r="E100" s="100">
        <v>84.5</v>
      </c>
      <c r="F100" s="101">
        <v>7457</v>
      </c>
      <c r="G100" s="110"/>
      <c r="H100" s="99">
        <v>92.7</v>
      </c>
      <c r="I100" s="100">
        <v>96.2</v>
      </c>
      <c r="J100" s="119">
        <v>6604</v>
      </c>
      <c r="K100" s="116"/>
      <c r="L100" s="99">
        <v>74.099999999999994</v>
      </c>
      <c r="M100" s="110"/>
      <c r="N100" s="116"/>
      <c r="O100" s="99">
        <v>65.8</v>
      </c>
      <c r="P100" s="100">
        <v>62.4</v>
      </c>
      <c r="Q100" s="111">
        <v>5132</v>
      </c>
    </row>
    <row r="101" spans="1:17" x14ac:dyDescent="0.25">
      <c r="A101" s="22">
        <v>20174</v>
      </c>
      <c r="B101" s="87">
        <v>20</v>
      </c>
      <c r="C101" s="223" t="str">
        <f t="shared" si="1"/>
        <v>20_20174</v>
      </c>
      <c r="D101" s="99">
        <v>92</v>
      </c>
      <c r="E101" s="100">
        <v>84.8</v>
      </c>
      <c r="F101" s="101">
        <v>7886</v>
      </c>
      <c r="G101" s="14">
        <v>81.599999999999994</v>
      </c>
      <c r="H101" s="99">
        <v>88.9</v>
      </c>
      <c r="I101" s="100">
        <v>84.8</v>
      </c>
      <c r="J101" s="119">
        <v>7886</v>
      </c>
      <c r="K101" s="212">
        <v>86.7</v>
      </c>
      <c r="L101" s="99">
        <v>78.2</v>
      </c>
      <c r="M101" s="100">
        <v>76.8</v>
      </c>
      <c r="N101" s="212">
        <v>96.4</v>
      </c>
      <c r="O101" s="99">
        <v>67</v>
      </c>
      <c r="P101" s="100">
        <v>65.8</v>
      </c>
      <c r="Q101" s="111">
        <v>5129</v>
      </c>
    </row>
    <row r="102" spans="1:17" ht="15.75" thickBot="1" x14ac:dyDescent="0.3">
      <c r="A102" s="213">
        <v>20181</v>
      </c>
      <c r="B102" s="54">
        <v>20</v>
      </c>
      <c r="C102" s="224" t="str">
        <f t="shared" si="1"/>
        <v>20_20181</v>
      </c>
      <c r="D102" s="102">
        <v>92.5</v>
      </c>
      <c r="E102" s="103">
        <v>88.4</v>
      </c>
      <c r="F102" s="107">
        <v>9161</v>
      </c>
      <c r="G102" s="93">
        <v>79</v>
      </c>
      <c r="H102" s="102">
        <v>86.5</v>
      </c>
      <c r="I102" s="103">
        <v>92.7</v>
      </c>
      <c r="J102" s="104">
        <v>8016</v>
      </c>
      <c r="K102" s="95">
        <v>81.3</v>
      </c>
      <c r="L102" s="106">
        <v>84.7</v>
      </c>
      <c r="M102" s="105">
        <v>80.2</v>
      </c>
      <c r="N102" s="226">
        <v>93.8</v>
      </c>
      <c r="O102" s="106">
        <v>66.599999999999994</v>
      </c>
      <c r="P102" s="105">
        <v>65.8</v>
      </c>
      <c r="Q102" s="98">
        <v>5113</v>
      </c>
    </row>
    <row r="103" spans="1:17" x14ac:dyDescent="0.25">
      <c r="A103" s="20">
        <v>20171</v>
      </c>
      <c r="B103" s="21">
        <v>21</v>
      </c>
      <c r="C103" s="222" t="str">
        <f t="shared" si="1"/>
        <v>21_20171</v>
      </c>
      <c r="D103" s="112">
        <v>83.87</v>
      </c>
      <c r="E103" s="108"/>
      <c r="F103" s="113">
        <v>8384</v>
      </c>
      <c r="G103" s="108"/>
      <c r="H103" s="112">
        <v>100</v>
      </c>
      <c r="I103" s="108"/>
      <c r="J103" s="113">
        <v>9496</v>
      </c>
      <c r="K103" s="114"/>
      <c r="L103" s="118">
        <v>96.88</v>
      </c>
      <c r="M103" s="110"/>
      <c r="N103" s="116"/>
      <c r="O103" s="112">
        <v>68.11</v>
      </c>
      <c r="P103" s="108"/>
      <c r="Q103" s="115">
        <v>5500</v>
      </c>
    </row>
    <row r="104" spans="1:17" x14ac:dyDescent="0.25">
      <c r="A104" s="22">
        <v>20172</v>
      </c>
      <c r="B104" s="87">
        <v>21</v>
      </c>
      <c r="C104" s="223" t="str">
        <f t="shared" si="1"/>
        <v>21_20172</v>
      </c>
      <c r="D104" s="99">
        <v>83.3</v>
      </c>
      <c r="E104" s="110"/>
      <c r="F104" s="101">
        <v>8861</v>
      </c>
      <c r="G104" s="110"/>
      <c r="H104" s="99">
        <v>94.7</v>
      </c>
      <c r="I104" s="110"/>
      <c r="J104" s="119">
        <v>9498</v>
      </c>
      <c r="K104" s="116"/>
      <c r="L104" s="99">
        <v>66.2</v>
      </c>
      <c r="M104" s="110"/>
      <c r="N104" s="116"/>
      <c r="O104" s="99">
        <v>66.260000000000005</v>
      </c>
      <c r="P104" s="110"/>
      <c r="Q104" s="111">
        <v>6639</v>
      </c>
    </row>
    <row r="105" spans="1:17" x14ac:dyDescent="0.25">
      <c r="A105" s="22">
        <v>20173</v>
      </c>
      <c r="B105" s="87">
        <v>21</v>
      </c>
      <c r="C105" s="223" t="str">
        <f t="shared" si="1"/>
        <v>21_20173</v>
      </c>
      <c r="D105" s="99">
        <v>91.2</v>
      </c>
      <c r="E105" s="100">
        <v>80.599999999999994</v>
      </c>
      <c r="F105" s="101">
        <v>10683</v>
      </c>
      <c r="G105" s="110"/>
      <c r="H105" s="99">
        <v>93.5</v>
      </c>
      <c r="I105" s="100">
        <v>100</v>
      </c>
      <c r="J105" s="119">
        <v>10024</v>
      </c>
      <c r="K105" s="116"/>
      <c r="L105" s="99">
        <v>64.3</v>
      </c>
      <c r="M105" s="110"/>
      <c r="N105" s="116"/>
      <c r="O105" s="99">
        <v>67</v>
      </c>
      <c r="P105" s="100">
        <v>62.4</v>
      </c>
      <c r="Q105" s="111">
        <v>5390</v>
      </c>
    </row>
    <row r="106" spans="1:17" x14ac:dyDescent="0.25">
      <c r="A106" s="22">
        <v>20174</v>
      </c>
      <c r="B106" s="87">
        <v>21</v>
      </c>
      <c r="C106" s="223" t="str">
        <f t="shared" si="1"/>
        <v>21_20174</v>
      </c>
      <c r="D106" s="99">
        <v>91.4</v>
      </c>
      <c r="E106" s="100">
        <v>83.3</v>
      </c>
      <c r="F106" s="101">
        <v>10384</v>
      </c>
      <c r="G106" s="14">
        <v>95.1</v>
      </c>
      <c r="H106" s="99">
        <v>90.2</v>
      </c>
      <c r="I106" s="100">
        <v>94.7</v>
      </c>
      <c r="J106" s="119">
        <v>10057</v>
      </c>
      <c r="K106" s="212">
        <v>92.3</v>
      </c>
      <c r="L106" s="99">
        <v>65.400000000000006</v>
      </c>
      <c r="M106" s="100">
        <v>64.900000000000006</v>
      </c>
      <c r="N106" s="212">
        <v>76</v>
      </c>
      <c r="O106" s="99">
        <v>67.3</v>
      </c>
      <c r="P106" s="100">
        <v>65.900000000000006</v>
      </c>
      <c r="Q106" s="111">
        <v>5493</v>
      </c>
    </row>
    <row r="107" spans="1:17" ht="15.75" thickBot="1" x14ac:dyDescent="0.3">
      <c r="A107" s="213">
        <v>20181</v>
      </c>
      <c r="B107" s="54">
        <v>21</v>
      </c>
      <c r="C107" s="224" t="str">
        <f t="shared" si="1"/>
        <v>21_20181</v>
      </c>
      <c r="D107" s="102">
        <v>92.5</v>
      </c>
      <c r="E107" s="103">
        <v>86.5</v>
      </c>
      <c r="F107" s="107">
        <v>10327</v>
      </c>
      <c r="G107" s="93">
        <v>93.8</v>
      </c>
      <c r="H107" s="102">
        <v>90</v>
      </c>
      <c r="I107" s="103">
        <v>93.5</v>
      </c>
      <c r="J107" s="104">
        <v>10041</v>
      </c>
      <c r="K107" s="95">
        <v>88</v>
      </c>
      <c r="L107" s="106">
        <v>65.7</v>
      </c>
      <c r="M107" s="105">
        <v>67</v>
      </c>
      <c r="N107" s="226">
        <v>84.1</v>
      </c>
      <c r="O107" s="106">
        <v>67</v>
      </c>
      <c r="P107" s="105">
        <v>65.900000000000006</v>
      </c>
      <c r="Q107" s="98">
        <v>5602</v>
      </c>
    </row>
    <row r="108" spans="1:17" x14ac:dyDescent="0.25">
      <c r="A108" s="20">
        <v>20171</v>
      </c>
      <c r="B108" s="21">
        <v>22</v>
      </c>
      <c r="C108" s="222" t="str">
        <f t="shared" si="1"/>
        <v>22_20171</v>
      </c>
      <c r="D108" s="112">
        <v>86.9</v>
      </c>
      <c r="E108" s="108"/>
      <c r="F108" s="113">
        <v>7710</v>
      </c>
      <c r="G108" s="108"/>
      <c r="H108" s="112">
        <v>87.14</v>
      </c>
      <c r="I108" s="108"/>
      <c r="J108" s="113">
        <v>8984</v>
      </c>
      <c r="K108" s="114"/>
      <c r="L108" s="118">
        <v>92.49</v>
      </c>
      <c r="M108" s="110"/>
      <c r="N108" s="116"/>
      <c r="O108" s="112">
        <v>65.58</v>
      </c>
      <c r="P108" s="108"/>
      <c r="Q108" s="115">
        <v>5159</v>
      </c>
    </row>
    <row r="109" spans="1:17" x14ac:dyDescent="0.25">
      <c r="A109" s="22">
        <v>20172</v>
      </c>
      <c r="B109" s="87">
        <v>22</v>
      </c>
      <c r="C109" s="223" t="str">
        <f t="shared" si="1"/>
        <v>22_20172</v>
      </c>
      <c r="D109" s="99">
        <v>89.1</v>
      </c>
      <c r="E109" s="110"/>
      <c r="F109" s="101">
        <v>7586</v>
      </c>
      <c r="G109" s="110"/>
      <c r="H109" s="99">
        <v>91.3</v>
      </c>
      <c r="I109" s="110"/>
      <c r="J109" s="119">
        <v>9510</v>
      </c>
      <c r="K109" s="116"/>
      <c r="L109" s="99">
        <v>92.2</v>
      </c>
      <c r="M109" s="110"/>
      <c r="N109" s="116"/>
      <c r="O109" s="99">
        <v>64.510000000000005</v>
      </c>
      <c r="P109" s="110"/>
      <c r="Q109" s="111">
        <v>6205</v>
      </c>
    </row>
    <row r="110" spans="1:17" x14ac:dyDescent="0.25">
      <c r="A110" s="22">
        <v>20173</v>
      </c>
      <c r="B110" s="87">
        <v>22</v>
      </c>
      <c r="C110" s="223" t="str">
        <f t="shared" si="1"/>
        <v>22_20173</v>
      </c>
      <c r="D110" s="99">
        <v>88.9</v>
      </c>
      <c r="E110" s="100">
        <v>84.6</v>
      </c>
      <c r="F110" s="101">
        <v>8020</v>
      </c>
      <c r="G110" s="110"/>
      <c r="H110" s="99">
        <v>90.3</v>
      </c>
      <c r="I110" s="100">
        <v>88.4</v>
      </c>
      <c r="J110" s="119">
        <v>9280</v>
      </c>
      <c r="K110" s="116"/>
      <c r="L110" s="99">
        <v>92.9</v>
      </c>
      <c r="M110" s="110"/>
      <c r="N110" s="116"/>
      <c r="O110" s="99">
        <v>66</v>
      </c>
      <c r="P110" s="100">
        <v>65.7</v>
      </c>
      <c r="Q110" s="111">
        <v>5291</v>
      </c>
    </row>
    <row r="111" spans="1:17" x14ac:dyDescent="0.25">
      <c r="A111" s="22">
        <v>20174</v>
      </c>
      <c r="B111" s="87">
        <v>22</v>
      </c>
      <c r="C111" s="223" t="str">
        <f t="shared" si="1"/>
        <v>22_20174</v>
      </c>
      <c r="D111" s="99">
        <v>91.3</v>
      </c>
      <c r="E111" s="100">
        <v>87.6</v>
      </c>
      <c r="F111" s="101">
        <v>8960</v>
      </c>
      <c r="G111" s="14">
        <v>73</v>
      </c>
      <c r="H111" s="99">
        <v>91.3</v>
      </c>
      <c r="I111" s="100">
        <v>90.5</v>
      </c>
      <c r="J111" s="119">
        <v>9499</v>
      </c>
      <c r="K111" s="212">
        <v>66.7</v>
      </c>
      <c r="L111" s="99">
        <v>92.9</v>
      </c>
      <c r="M111" s="100">
        <v>93.7</v>
      </c>
      <c r="N111" s="212">
        <v>85.7</v>
      </c>
      <c r="O111" s="99">
        <v>66.5</v>
      </c>
      <c r="P111" s="100">
        <v>67.7</v>
      </c>
      <c r="Q111" s="111">
        <v>5379</v>
      </c>
    </row>
    <row r="112" spans="1:17" ht="15.75" thickBot="1" x14ac:dyDescent="0.3">
      <c r="A112" s="213">
        <v>20181</v>
      </c>
      <c r="B112" s="54">
        <v>22</v>
      </c>
      <c r="C112" s="224" t="str">
        <f t="shared" si="1"/>
        <v>22_20181</v>
      </c>
      <c r="D112" s="102">
        <v>92.7</v>
      </c>
      <c r="E112" s="103">
        <v>87.4</v>
      </c>
      <c r="F112" s="107">
        <v>8991</v>
      </c>
      <c r="G112" s="93">
        <v>71</v>
      </c>
      <c r="H112" s="102">
        <v>92.3</v>
      </c>
      <c r="I112" s="103">
        <v>90.9</v>
      </c>
      <c r="J112" s="104">
        <v>9831</v>
      </c>
      <c r="K112" s="95">
        <v>66.400000000000006</v>
      </c>
      <c r="L112" s="106">
        <v>95.4</v>
      </c>
      <c r="M112" s="105">
        <v>93.2</v>
      </c>
      <c r="N112" s="226">
        <v>84.5</v>
      </c>
      <c r="O112" s="106">
        <v>66.5</v>
      </c>
      <c r="P112" s="105">
        <v>67.5</v>
      </c>
      <c r="Q112" s="98">
        <v>5411</v>
      </c>
    </row>
    <row r="113" spans="1:17" x14ac:dyDescent="0.25">
      <c r="A113" s="20">
        <v>20171</v>
      </c>
      <c r="B113" s="21">
        <v>23</v>
      </c>
      <c r="C113" s="222" t="str">
        <f t="shared" si="1"/>
        <v>23_20171</v>
      </c>
      <c r="D113" s="112">
        <v>76.25</v>
      </c>
      <c r="E113" s="108"/>
      <c r="F113" s="113">
        <v>4875</v>
      </c>
      <c r="G113" s="108"/>
      <c r="H113" s="112">
        <v>83.87</v>
      </c>
      <c r="I113" s="108"/>
      <c r="J113" s="113">
        <v>7753</v>
      </c>
      <c r="K113" s="114"/>
      <c r="L113" s="118">
        <v>83.1</v>
      </c>
      <c r="M113" s="110"/>
      <c r="N113" s="116"/>
      <c r="O113" s="112">
        <v>62.31</v>
      </c>
      <c r="P113" s="108"/>
      <c r="Q113" s="115">
        <v>5161</v>
      </c>
    </row>
    <row r="114" spans="1:17" x14ac:dyDescent="0.25">
      <c r="A114" s="22">
        <v>20172</v>
      </c>
      <c r="B114" s="87">
        <v>23</v>
      </c>
      <c r="C114" s="223" t="str">
        <f t="shared" si="1"/>
        <v>23_20172</v>
      </c>
      <c r="D114" s="99">
        <v>77.599999999999994</v>
      </c>
      <c r="E114" s="110"/>
      <c r="F114" s="101">
        <v>4774</v>
      </c>
      <c r="G114" s="110"/>
      <c r="H114" s="99">
        <v>82.4</v>
      </c>
      <c r="I114" s="110"/>
      <c r="J114" s="119">
        <v>7405</v>
      </c>
      <c r="K114" s="116"/>
      <c r="L114" s="99">
        <v>88.1</v>
      </c>
      <c r="M114" s="110"/>
      <c r="N114" s="116"/>
      <c r="O114" s="99">
        <v>61.13</v>
      </c>
      <c r="P114" s="110"/>
      <c r="Q114" s="111">
        <v>6158</v>
      </c>
    </row>
    <row r="115" spans="1:17" x14ac:dyDescent="0.25">
      <c r="A115" s="22">
        <v>20173</v>
      </c>
      <c r="B115" s="87">
        <v>23</v>
      </c>
      <c r="C115" s="223" t="str">
        <f t="shared" si="1"/>
        <v>23_20173</v>
      </c>
      <c r="D115" s="99">
        <v>77.2</v>
      </c>
      <c r="E115" s="100">
        <v>71.7</v>
      </c>
      <c r="F115" s="101">
        <v>4729</v>
      </c>
      <c r="G115" s="110"/>
      <c r="H115" s="99">
        <v>82.6</v>
      </c>
      <c r="I115" s="100">
        <v>73</v>
      </c>
      <c r="J115" s="119">
        <v>7203</v>
      </c>
      <c r="K115" s="116"/>
      <c r="L115" s="99">
        <v>86.9</v>
      </c>
      <c r="M115" s="110"/>
      <c r="N115" s="116"/>
      <c r="O115" s="99">
        <v>63.7</v>
      </c>
      <c r="P115" s="100">
        <v>63.1</v>
      </c>
      <c r="Q115" s="111">
        <v>5112</v>
      </c>
    </row>
    <row r="116" spans="1:17" x14ac:dyDescent="0.25">
      <c r="A116" s="22">
        <v>20174</v>
      </c>
      <c r="B116" s="87">
        <v>23</v>
      </c>
      <c r="C116" s="223" t="str">
        <f t="shared" si="1"/>
        <v>23_20174</v>
      </c>
      <c r="D116" s="99">
        <v>77.099999999999994</v>
      </c>
      <c r="E116" s="100">
        <v>73.8</v>
      </c>
      <c r="F116" s="101">
        <v>4753</v>
      </c>
      <c r="G116" s="14">
        <v>72.099999999999994</v>
      </c>
      <c r="H116" s="99">
        <v>83.7</v>
      </c>
      <c r="I116" s="100">
        <v>75.8</v>
      </c>
      <c r="J116" s="119">
        <v>7692</v>
      </c>
      <c r="K116" s="212">
        <v>81.400000000000006</v>
      </c>
      <c r="L116" s="99">
        <v>88.2</v>
      </c>
      <c r="M116" s="100">
        <v>92.4</v>
      </c>
      <c r="N116" s="212">
        <v>91.5</v>
      </c>
      <c r="O116" s="99">
        <v>60.6</v>
      </c>
      <c r="P116" s="100">
        <v>63.7</v>
      </c>
      <c r="Q116" s="111">
        <v>5284</v>
      </c>
    </row>
    <row r="117" spans="1:17" ht="15.75" thickBot="1" x14ac:dyDescent="0.3">
      <c r="A117" s="213">
        <v>20181</v>
      </c>
      <c r="B117" s="54">
        <v>23</v>
      </c>
      <c r="C117" s="224" t="str">
        <f t="shared" si="1"/>
        <v>23_20181</v>
      </c>
      <c r="D117" s="102">
        <v>75.099999999999994</v>
      </c>
      <c r="E117" s="103">
        <v>73.8</v>
      </c>
      <c r="F117" s="107">
        <v>4758</v>
      </c>
      <c r="G117" s="93">
        <v>74.8</v>
      </c>
      <c r="H117" s="102">
        <v>82.3</v>
      </c>
      <c r="I117" s="103">
        <v>78</v>
      </c>
      <c r="J117" s="104">
        <v>7760</v>
      </c>
      <c r="K117" s="95">
        <v>80.599999999999994</v>
      </c>
      <c r="L117" s="106">
        <v>89.1</v>
      </c>
      <c r="M117" s="105">
        <v>88.8</v>
      </c>
      <c r="N117" s="226">
        <v>84</v>
      </c>
      <c r="O117" s="106">
        <v>58.8</v>
      </c>
      <c r="P117" s="105">
        <v>63.5</v>
      </c>
      <c r="Q117" s="98">
        <v>5284</v>
      </c>
    </row>
    <row r="118" spans="1:17" x14ac:dyDescent="0.25">
      <c r="A118" s="20">
        <v>20171</v>
      </c>
      <c r="B118" s="21">
        <v>24</v>
      </c>
      <c r="C118" s="222" t="str">
        <f t="shared" si="1"/>
        <v>24_20171</v>
      </c>
      <c r="D118" s="112">
        <v>94.49</v>
      </c>
      <c r="E118" s="108"/>
      <c r="F118" s="113">
        <v>8307</v>
      </c>
      <c r="G118" s="108"/>
      <c r="H118" s="112">
        <v>100</v>
      </c>
      <c r="I118" s="108"/>
      <c r="J118" s="113">
        <v>8670</v>
      </c>
      <c r="K118" s="114"/>
      <c r="L118" s="118">
        <v>80.42</v>
      </c>
      <c r="M118" s="110"/>
      <c r="N118" s="116"/>
      <c r="O118" s="112">
        <v>69.790000000000006</v>
      </c>
      <c r="P118" s="108"/>
      <c r="Q118" s="115">
        <v>5239</v>
      </c>
    </row>
    <row r="119" spans="1:17" x14ac:dyDescent="0.25">
      <c r="A119" s="22">
        <v>20172</v>
      </c>
      <c r="B119" s="87">
        <v>24</v>
      </c>
      <c r="C119" s="223" t="str">
        <f t="shared" si="1"/>
        <v>24_20172</v>
      </c>
      <c r="D119" s="99">
        <v>93.3</v>
      </c>
      <c r="E119" s="110"/>
      <c r="F119" s="101">
        <v>8522</v>
      </c>
      <c r="G119" s="110"/>
      <c r="H119" s="99">
        <v>97.6</v>
      </c>
      <c r="I119" s="110"/>
      <c r="J119" s="119">
        <v>9132</v>
      </c>
      <c r="K119" s="116"/>
      <c r="L119" s="99">
        <v>81.400000000000006</v>
      </c>
      <c r="M119" s="110"/>
      <c r="N119" s="116"/>
      <c r="O119" s="99">
        <v>68.08</v>
      </c>
      <c r="P119" s="110"/>
      <c r="Q119" s="111">
        <v>5641</v>
      </c>
    </row>
    <row r="120" spans="1:17" x14ac:dyDescent="0.25">
      <c r="A120" s="22">
        <v>20173</v>
      </c>
      <c r="B120" s="87">
        <v>24</v>
      </c>
      <c r="C120" s="223" t="str">
        <f t="shared" si="1"/>
        <v>24_20173</v>
      </c>
      <c r="D120" s="99">
        <v>93.6</v>
      </c>
      <c r="E120" s="100">
        <v>96</v>
      </c>
      <c r="F120" s="101">
        <v>7920</v>
      </c>
      <c r="G120" s="110"/>
      <c r="H120" s="99">
        <v>94.8</v>
      </c>
      <c r="I120" s="100">
        <v>100</v>
      </c>
      <c r="J120" s="119">
        <v>8190</v>
      </c>
      <c r="K120" s="116"/>
      <c r="L120" s="99">
        <v>81.900000000000006</v>
      </c>
      <c r="M120" s="110"/>
      <c r="N120" s="116"/>
      <c r="O120" s="99">
        <v>69.8</v>
      </c>
      <c r="P120" s="100">
        <v>66.8</v>
      </c>
      <c r="Q120" s="111">
        <v>4917</v>
      </c>
    </row>
    <row r="121" spans="1:17" x14ac:dyDescent="0.25">
      <c r="A121" s="22">
        <v>20174</v>
      </c>
      <c r="B121" s="87">
        <v>24</v>
      </c>
      <c r="C121" s="223" t="str">
        <f t="shared" si="1"/>
        <v>24_20174</v>
      </c>
      <c r="D121" s="99">
        <v>93.4</v>
      </c>
      <c r="E121" s="100">
        <v>93.8</v>
      </c>
      <c r="F121" s="101">
        <v>8033</v>
      </c>
      <c r="G121" s="14">
        <v>84.7</v>
      </c>
      <c r="H121" s="99">
        <v>95.5</v>
      </c>
      <c r="I121" s="100">
        <v>97.6</v>
      </c>
      <c r="J121" s="119">
        <v>7935</v>
      </c>
      <c r="K121" s="212">
        <v>90.9</v>
      </c>
      <c r="L121" s="99">
        <v>84.6</v>
      </c>
      <c r="M121" s="100">
        <v>85.3</v>
      </c>
      <c r="N121" s="212">
        <v>97.5</v>
      </c>
      <c r="O121" s="99">
        <v>70.2</v>
      </c>
      <c r="P121" s="100">
        <v>68.400000000000006</v>
      </c>
      <c r="Q121" s="111">
        <v>5007</v>
      </c>
    </row>
    <row r="122" spans="1:17" ht="15.75" thickBot="1" x14ac:dyDescent="0.3">
      <c r="A122" s="213">
        <v>20181</v>
      </c>
      <c r="B122" s="54">
        <v>24</v>
      </c>
      <c r="C122" s="224" t="str">
        <f>B122&amp;"_"&amp;A122</f>
        <v>24_20181</v>
      </c>
      <c r="D122" s="102">
        <v>93.1</v>
      </c>
      <c r="E122" s="103">
        <v>93.7</v>
      </c>
      <c r="F122" s="107">
        <v>7800</v>
      </c>
      <c r="G122" s="93">
        <v>82.6</v>
      </c>
      <c r="H122" s="102">
        <v>94.5</v>
      </c>
      <c r="I122" s="103">
        <v>96.6</v>
      </c>
      <c r="J122" s="104">
        <v>7935</v>
      </c>
      <c r="K122" s="95">
        <v>84.8</v>
      </c>
      <c r="L122" s="106">
        <v>82.3</v>
      </c>
      <c r="M122" s="105">
        <v>80.3</v>
      </c>
      <c r="N122" s="226">
        <v>84.7</v>
      </c>
      <c r="O122" s="106">
        <v>69.7</v>
      </c>
      <c r="P122" s="105">
        <v>68.599999999999994</v>
      </c>
      <c r="Q122" s="98">
        <v>5016</v>
      </c>
    </row>
    <row r="123" spans="1:17" x14ac:dyDescent="0.25">
      <c r="A123" s="20">
        <v>20171</v>
      </c>
      <c r="B123" s="21">
        <v>25</v>
      </c>
      <c r="C123" s="222" t="str">
        <f t="shared" si="1"/>
        <v>25_20171</v>
      </c>
      <c r="D123" s="112">
        <v>84.8</v>
      </c>
      <c r="E123" s="108"/>
      <c r="F123" s="113">
        <v>6955</v>
      </c>
      <c r="G123" s="108"/>
      <c r="H123" s="112">
        <v>88.77</v>
      </c>
      <c r="I123" s="108"/>
      <c r="J123" s="113">
        <v>7668</v>
      </c>
      <c r="K123" s="114"/>
      <c r="L123" s="118">
        <v>83.08</v>
      </c>
      <c r="M123" s="110"/>
      <c r="N123" s="116"/>
      <c r="O123" s="112">
        <v>65.81</v>
      </c>
      <c r="P123" s="108"/>
      <c r="Q123" s="115">
        <v>5120</v>
      </c>
    </row>
    <row r="124" spans="1:17" x14ac:dyDescent="0.25">
      <c r="A124" s="22">
        <v>20172</v>
      </c>
      <c r="B124" s="87">
        <v>25</v>
      </c>
      <c r="C124" s="223" t="str">
        <f t="shared" si="1"/>
        <v>25_20172</v>
      </c>
      <c r="D124" s="99">
        <v>86.7</v>
      </c>
      <c r="E124" s="110"/>
      <c r="F124" s="101">
        <v>6961</v>
      </c>
      <c r="G124" s="110"/>
      <c r="H124" s="99">
        <v>89.8</v>
      </c>
      <c r="I124" s="110"/>
      <c r="J124" s="119">
        <v>7793</v>
      </c>
      <c r="K124" s="116"/>
      <c r="L124" s="99">
        <v>83.6</v>
      </c>
      <c r="M124" s="110"/>
      <c r="N124" s="116"/>
      <c r="O124" s="99">
        <v>67.8</v>
      </c>
      <c r="P124" s="110"/>
      <c r="Q124" s="111">
        <v>5137</v>
      </c>
    </row>
    <row r="125" spans="1:17" x14ac:dyDescent="0.25">
      <c r="A125" s="22">
        <v>20173</v>
      </c>
      <c r="B125" s="87">
        <v>25</v>
      </c>
      <c r="C125" s="223" t="str">
        <f t="shared" si="1"/>
        <v>25_20173</v>
      </c>
      <c r="D125" s="99">
        <v>86.6</v>
      </c>
      <c r="E125" s="100">
        <v>83.1</v>
      </c>
      <c r="F125" s="101">
        <v>6889</v>
      </c>
      <c r="G125" s="110"/>
      <c r="H125" s="99">
        <v>88.8</v>
      </c>
      <c r="I125" s="100">
        <v>86.2</v>
      </c>
      <c r="J125" s="119">
        <v>7800</v>
      </c>
      <c r="K125" s="116"/>
      <c r="L125" s="99">
        <v>82.6</v>
      </c>
      <c r="M125" s="110"/>
      <c r="N125" s="116"/>
      <c r="O125" s="99">
        <v>67.099999999999994</v>
      </c>
      <c r="P125" s="100">
        <v>65.599999999999994</v>
      </c>
      <c r="Q125" s="111">
        <v>5146</v>
      </c>
    </row>
    <row r="126" spans="1:17" x14ac:dyDescent="0.25">
      <c r="A126" s="22">
        <v>20174</v>
      </c>
      <c r="B126" s="87">
        <v>25</v>
      </c>
      <c r="C126" s="223" t="str">
        <f t="shared" si="1"/>
        <v>25_20174</v>
      </c>
      <c r="D126" s="99">
        <v>88.4</v>
      </c>
      <c r="E126" s="100">
        <v>84.4</v>
      </c>
      <c r="F126" s="101">
        <v>7605</v>
      </c>
      <c r="G126" s="14">
        <v>85</v>
      </c>
      <c r="H126" s="99">
        <v>88.7</v>
      </c>
      <c r="I126" s="100">
        <v>87.5</v>
      </c>
      <c r="J126" s="119">
        <v>7912</v>
      </c>
      <c r="K126" s="212">
        <v>82.6</v>
      </c>
      <c r="L126" s="99">
        <v>83</v>
      </c>
      <c r="M126" s="100">
        <v>83.1</v>
      </c>
      <c r="N126" s="212">
        <v>87.9</v>
      </c>
      <c r="O126" s="99">
        <v>66.5</v>
      </c>
      <c r="P126" s="100">
        <v>67.2</v>
      </c>
      <c r="Q126" s="111">
        <v>5270</v>
      </c>
    </row>
    <row r="127" spans="1:17" ht="15.75" thickBot="1" x14ac:dyDescent="0.3">
      <c r="A127" s="213">
        <v>20181</v>
      </c>
      <c r="B127" s="54">
        <v>25</v>
      </c>
      <c r="C127" s="224" t="str">
        <f t="shared" si="1"/>
        <v>25_20181</v>
      </c>
      <c r="D127" s="102">
        <v>88.7</v>
      </c>
      <c r="E127" s="103">
        <v>84.5</v>
      </c>
      <c r="F127" s="107">
        <v>7800</v>
      </c>
      <c r="G127" s="93">
        <v>84.1</v>
      </c>
      <c r="H127" s="102">
        <v>89.1</v>
      </c>
      <c r="I127" s="103">
        <v>86.8</v>
      </c>
      <c r="J127" s="104">
        <v>7968</v>
      </c>
      <c r="K127" s="95">
        <v>83.4</v>
      </c>
      <c r="L127" s="106">
        <v>82.7</v>
      </c>
      <c r="M127" s="105">
        <v>81</v>
      </c>
      <c r="N127" s="226">
        <v>86.3</v>
      </c>
      <c r="O127" s="106">
        <v>65.8</v>
      </c>
      <c r="P127" s="105">
        <v>67</v>
      </c>
      <c r="Q127" s="98">
        <v>5294</v>
      </c>
    </row>
    <row r="128" spans="1:17" x14ac:dyDescent="0.25">
      <c r="C128" s="5"/>
    </row>
    <row r="129" spans="3:4" x14ac:dyDescent="0.25">
      <c r="C129" s="5"/>
    </row>
    <row r="133" spans="3:4" x14ac:dyDescent="0.25">
      <c r="D133" s="15"/>
    </row>
    <row r="134" spans="3:4" x14ac:dyDescent="0.25">
      <c r="D134" s="15"/>
    </row>
    <row r="135" spans="3:4" x14ac:dyDescent="0.25">
      <c r="D135" s="15"/>
    </row>
    <row r="136" spans="3:4" x14ac:dyDescent="0.25">
      <c r="D136" s="15"/>
    </row>
    <row r="137" spans="3:4" x14ac:dyDescent="0.25">
      <c r="D137" s="15"/>
    </row>
    <row r="138" spans="3:4" x14ac:dyDescent="0.25">
      <c r="D138" s="15"/>
    </row>
    <row r="139" spans="3:4" x14ac:dyDescent="0.25">
      <c r="D139" s="15"/>
    </row>
    <row r="140" spans="3:4" x14ac:dyDescent="0.25">
      <c r="D140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85" zoomScaleNormal="85" workbookViewId="0">
      <selection activeCell="B1" sqref="B1"/>
    </sheetView>
  </sheetViews>
  <sheetFormatPr defaultRowHeight="15" x14ac:dyDescent="0.25"/>
  <cols>
    <col min="1" max="1" width="10.85546875" bestFit="1" customWidth="1"/>
    <col min="2" max="2" width="45" bestFit="1" customWidth="1"/>
    <col min="3" max="3" width="11.85546875" bestFit="1" customWidth="1"/>
    <col min="5" max="5" width="28.7109375" customWidth="1"/>
    <col min="6" max="6" width="40" customWidth="1"/>
    <col min="9" max="9" width="12.140625" bestFit="1" customWidth="1"/>
    <col min="10" max="10" width="47.7109375" bestFit="1" customWidth="1"/>
    <col min="11" max="11" width="8.42578125" bestFit="1" customWidth="1"/>
    <col min="13" max="13" width="12.140625" bestFit="1" customWidth="1"/>
  </cols>
  <sheetData>
    <row r="1" spans="1:13" ht="21" x14ac:dyDescent="0.35">
      <c r="A1" s="8" t="s">
        <v>101</v>
      </c>
      <c r="B1" s="8" t="s">
        <v>95</v>
      </c>
      <c r="C1" s="8"/>
      <c r="D1" s="8"/>
      <c r="E1" s="8" t="s">
        <v>102</v>
      </c>
      <c r="F1" s="9" t="s">
        <v>97</v>
      </c>
      <c r="G1" s="8"/>
      <c r="H1" s="8"/>
      <c r="I1" s="8" t="s">
        <v>102</v>
      </c>
      <c r="J1" s="9" t="s">
        <v>99</v>
      </c>
      <c r="K1" s="8"/>
      <c r="L1" s="8"/>
      <c r="M1" s="8" t="s">
        <v>14</v>
      </c>
    </row>
    <row r="2" spans="1:13" ht="21" x14ac:dyDescent="0.35">
      <c r="A2" s="8"/>
      <c r="B2" s="8" t="s">
        <v>234</v>
      </c>
      <c r="C2" s="8">
        <v>1</v>
      </c>
      <c r="D2" s="8"/>
      <c r="E2" s="8"/>
      <c r="F2" s="8" t="s">
        <v>103</v>
      </c>
      <c r="G2" s="8" t="s">
        <v>103</v>
      </c>
      <c r="H2" s="8"/>
      <c r="I2" s="8"/>
      <c r="J2" s="9" t="s">
        <v>104</v>
      </c>
      <c r="K2" s="8" t="s">
        <v>105</v>
      </c>
      <c r="L2" s="8"/>
      <c r="M2" s="8"/>
    </row>
    <row r="3" spans="1:13" ht="21" x14ac:dyDescent="0.35">
      <c r="A3" s="8"/>
      <c r="B3" s="8" t="s">
        <v>235</v>
      </c>
      <c r="C3" s="8">
        <v>2</v>
      </c>
      <c r="D3" s="8"/>
      <c r="E3" s="8"/>
      <c r="F3" s="8" t="s">
        <v>106</v>
      </c>
      <c r="G3" s="8" t="s">
        <v>107</v>
      </c>
      <c r="H3" s="8"/>
      <c r="I3" s="8"/>
      <c r="J3" s="9" t="s">
        <v>108</v>
      </c>
      <c r="K3" s="8" t="s">
        <v>109</v>
      </c>
      <c r="L3" s="8"/>
      <c r="M3" s="8"/>
    </row>
    <row r="4" spans="1:13" ht="21" x14ac:dyDescent="0.35">
      <c r="A4" s="8"/>
      <c r="B4" s="8" t="s">
        <v>236</v>
      </c>
      <c r="C4" s="8">
        <v>3</v>
      </c>
      <c r="D4" s="8"/>
      <c r="E4" s="8"/>
      <c r="F4" s="8" t="s">
        <v>110</v>
      </c>
      <c r="G4" s="8" t="s">
        <v>110</v>
      </c>
      <c r="H4" s="8"/>
      <c r="I4" s="8"/>
      <c r="J4" s="9" t="s">
        <v>111</v>
      </c>
      <c r="K4" s="8" t="s">
        <v>161</v>
      </c>
      <c r="L4" s="8"/>
      <c r="M4" s="8"/>
    </row>
    <row r="5" spans="1:13" ht="21" x14ac:dyDescent="0.35">
      <c r="A5" s="8"/>
      <c r="B5" s="8" t="s">
        <v>237</v>
      </c>
      <c r="C5" s="8">
        <v>4</v>
      </c>
      <c r="D5" s="8"/>
      <c r="E5" s="8"/>
      <c r="F5" s="8" t="s">
        <v>112</v>
      </c>
      <c r="G5" s="8" t="s">
        <v>113</v>
      </c>
      <c r="H5" s="8"/>
      <c r="I5" s="8"/>
      <c r="J5" s="9" t="s">
        <v>19</v>
      </c>
      <c r="K5" s="8" t="s">
        <v>114</v>
      </c>
      <c r="L5" s="8"/>
      <c r="M5" s="8"/>
    </row>
    <row r="6" spans="1:13" ht="21" x14ac:dyDescent="0.35">
      <c r="A6" s="8"/>
      <c r="B6" s="8" t="s">
        <v>238</v>
      </c>
      <c r="C6" s="8">
        <v>5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1" x14ac:dyDescent="0.35">
      <c r="A7" s="8"/>
      <c r="B7" s="8" t="s">
        <v>239</v>
      </c>
      <c r="C7" s="8">
        <v>6</v>
      </c>
      <c r="D7" s="8"/>
      <c r="E7" s="8"/>
      <c r="F7" s="8" t="str">
        <f>VLOOKUP(WIOAcat,$F$1:$G$5,2,0)&amp;VLOOKUP(WIOAmetric,$J$1:$K$5,2,0)</f>
        <v>Adult</v>
      </c>
      <c r="G7" s="8"/>
      <c r="H7" s="8"/>
      <c r="I7" s="8"/>
      <c r="J7" s="8"/>
      <c r="K7" s="8">
        <f>VLOOKUP(WIOAmetric,$J$1:$K$5,2,0)</f>
        <v>0</v>
      </c>
      <c r="L7" s="8"/>
      <c r="M7" s="8"/>
    </row>
    <row r="8" spans="1:13" ht="21" x14ac:dyDescent="0.35">
      <c r="A8" s="8"/>
      <c r="B8" s="8" t="s">
        <v>240</v>
      </c>
      <c r="C8" s="8">
        <v>7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1" x14ac:dyDescent="0.35">
      <c r="A9" s="8"/>
      <c r="B9" s="8" t="s">
        <v>241</v>
      </c>
      <c r="C9" s="8">
        <v>8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14" customFormat="1" ht="21" x14ac:dyDescent="0.35">
      <c r="A10" s="8"/>
      <c r="B10" s="8" t="s">
        <v>242</v>
      </c>
      <c r="C10" s="8">
        <v>9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1" x14ac:dyDescent="0.35">
      <c r="A11" s="8"/>
      <c r="B11" s="8" t="s">
        <v>243</v>
      </c>
      <c r="C11" s="8">
        <v>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1" x14ac:dyDescent="0.35">
      <c r="A12" s="8"/>
      <c r="B12" s="8" t="s">
        <v>244</v>
      </c>
      <c r="C12" s="8">
        <v>11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1" x14ac:dyDescent="0.35">
      <c r="A13" s="8"/>
      <c r="B13" s="8" t="s">
        <v>245</v>
      </c>
      <c r="C13" s="8">
        <v>12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1" x14ac:dyDescent="0.35">
      <c r="A14" s="8"/>
      <c r="B14" s="8" t="s">
        <v>246</v>
      </c>
      <c r="C14" s="8">
        <v>13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1" x14ac:dyDescent="0.35">
      <c r="A15" s="8"/>
      <c r="B15" s="8" t="s">
        <v>247</v>
      </c>
      <c r="C15" s="8">
        <v>14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1" x14ac:dyDescent="0.35">
      <c r="A16" s="8"/>
      <c r="B16" s="8" t="s">
        <v>248</v>
      </c>
      <c r="C16" s="8">
        <v>15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1" x14ac:dyDescent="0.35">
      <c r="A17" s="8"/>
      <c r="B17" s="8" t="s">
        <v>249</v>
      </c>
      <c r="C17" s="8">
        <v>16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1" x14ac:dyDescent="0.35">
      <c r="A18" s="8"/>
      <c r="B18" s="8" t="s">
        <v>250</v>
      </c>
      <c r="C18" s="8">
        <v>17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1" x14ac:dyDescent="0.35">
      <c r="A19" s="8"/>
      <c r="B19" s="8" t="s">
        <v>251</v>
      </c>
      <c r="C19" s="8">
        <v>18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1" x14ac:dyDescent="0.35">
      <c r="A20" s="8"/>
      <c r="B20" s="8" t="s">
        <v>252</v>
      </c>
      <c r="C20" s="8">
        <v>19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1" x14ac:dyDescent="0.35">
      <c r="A21" s="8"/>
      <c r="B21" s="8" t="s">
        <v>253</v>
      </c>
      <c r="C21" s="8">
        <v>20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21" x14ac:dyDescent="0.35">
      <c r="A22" s="8"/>
      <c r="B22" s="8" t="s">
        <v>254</v>
      </c>
      <c r="C22" s="8">
        <v>21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21" x14ac:dyDescent="0.35">
      <c r="A23" s="8"/>
      <c r="B23" s="8" t="s">
        <v>255</v>
      </c>
      <c r="C23" s="8">
        <v>22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21" x14ac:dyDescent="0.35">
      <c r="A24" s="8"/>
      <c r="B24" s="8" t="s">
        <v>256</v>
      </c>
      <c r="C24" s="8">
        <v>23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21" x14ac:dyDescent="0.35">
      <c r="A25" s="8"/>
      <c r="B25" s="8" t="s">
        <v>257</v>
      </c>
      <c r="C25" s="8">
        <v>24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21" x14ac:dyDescent="0.35">
      <c r="A26" s="8"/>
      <c r="B26" s="8" t="s">
        <v>210</v>
      </c>
      <c r="C26" s="8">
        <v>25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21" x14ac:dyDescent="0.35">
      <c r="A27" s="8"/>
      <c r="B27" s="8"/>
      <c r="C27" s="8">
        <f>VLOOKUP(workboard,$B$1:$C$26,2,0)</f>
        <v>25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21" x14ac:dyDescent="0.35">
      <c r="A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21" x14ac:dyDescent="0.35">
      <c r="A29" s="8"/>
      <c r="B29" s="8"/>
      <c r="C29" s="8"/>
    </row>
    <row r="30" spans="1:13" ht="21" x14ac:dyDescent="0.35">
      <c r="A30" s="8"/>
      <c r="B30" s="8"/>
      <c r="C30" s="8"/>
    </row>
    <row r="31" spans="1:13" ht="21" x14ac:dyDescent="0.35">
      <c r="A31" s="8"/>
      <c r="B31" s="8"/>
      <c r="C31" s="8"/>
    </row>
    <row r="32" spans="1:13" ht="21" x14ac:dyDescent="0.35">
      <c r="A32" s="8"/>
      <c r="B32" s="8"/>
      <c r="C32" s="8"/>
    </row>
    <row r="33" spans="1:3" ht="21" x14ac:dyDescent="0.35">
      <c r="A33" s="8"/>
      <c r="B33" s="8"/>
      <c r="C33" s="8"/>
    </row>
    <row r="34" spans="1:3" ht="21" x14ac:dyDescent="0.35">
      <c r="A34" s="8"/>
      <c r="B34" s="8"/>
      <c r="C34" s="8"/>
    </row>
    <row r="35" spans="1:3" ht="21" x14ac:dyDescent="0.35">
      <c r="A35" s="8"/>
      <c r="B35" s="8"/>
      <c r="C35" s="8"/>
    </row>
    <row r="36" spans="1:3" ht="21" x14ac:dyDescent="0.35">
      <c r="A36" s="8"/>
      <c r="B36" s="8"/>
      <c r="C36" s="8"/>
    </row>
    <row r="37" spans="1:3" ht="21" x14ac:dyDescent="0.35">
      <c r="A37" s="8"/>
      <c r="B37" s="8"/>
      <c r="C37" s="8"/>
    </row>
    <row r="38" spans="1:3" ht="21" x14ac:dyDescent="0.35">
      <c r="A38" s="8"/>
      <c r="B38" s="8"/>
      <c r="C38" s="8"/>
    </row>
    <row r="39" spans="1:3" ht="21" x14ac:dyDescent="0.35">
      <c r="A39" s="8"/>
      <c r="B39" s="8"/>
      <c r="C39" s="8"/>
    </row>
    <row r="40" spans="1:3" ht="21" x14ac:dyDescent="0.35">
      <c r="A40" s="8"/>
      <c r="B40" s="8"/>
      <c r="C40" s="8"/>
    </row>
  </sheetData>
  <sheetProtection algorithmName="SHA-512" hashValue="NAvZcAegcN+S4rpYKCDUCIludUBGXq4YGPgM1ny6pz5hbxlAc1JBdZvxVVMoAEC89yhJBvmFKe/nxbqcpPKIpg==" saltValue="hTzeFqk60ZidWKTRcT6pw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Performance Indicators</vt:lpstr>
      <vt:lpstr>AgreedLevel</vt:lpstr>
      <vt:lpstr>Data</vt:lpstr>
      <vt:lpstr>Den</vt:lpstr>
      <vt:lpstr>Achievement</vt:lpstr>
      <vt:lpstr>naming</vt:lpstr>
      <vt:lpstr>_</vt:lpstr>
      <vt:lpstr>_22_CareerSource_Broward</vt:lpstr>
      <vt:lpstr>check_form</vt:lpstr>
      <vt:lpstr>metric_sel</vt:lpstr>
      <vt:lpstr>'Performance Indicators'!Print_Area</vt:lpstr>
      <vt:lpstr>sel_reg</vt:lpstr>
      <vt:lpstr>WIOAcat</vt:lpstr>
      <vt:lpstr>WIOAmetric</vt:lpstr>
      <vt:lpstr>workboard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Harper</dc:creator>
  <cp:lastModifiedBy>Eicher, Stephan</cp:lastModifiedBy>
  <cp:lastPrinted>2019-01-10T22:08:27Z</cp:lastPrinted>
  <dcterms:created xsi:type="dcterms:W3CDTF">2018-06-16T01:38:55Z</dcterms:created>
  <dcterms:modified xsi:type="dcterms:W3CDTF">2019-02-15T13:19:16Z</dcterms:modified>
</cp:coreProperties>
</file>